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597" firstSheet="8" activeTab="13"/>
  </bookViews>
  <sheets>
    <sheet name="Arkusz1" sheetId="1" state="hidden" r:id="rId1"/>
    <sheet name="Dochody wg §" sheetId="2" state="hidden" r:id="rId2"/>
    <sheet name="Dochody" sheetId="3" r:id="rId3"/>
    <sheet name="Inwestycje" sheetId="4" state="hidden" r:id="rId4"/>
    <sheet name="Wydatki" sheetId="5" r:id="rId5"/>
    <sheet name="Wydatki - grupy" sheetId="6" state="hidden" r:id="rId6"/>
    <sheet name="Wydatki (2)" sheetId="7" state="hidden" r:id="rId7"/>
    <sheet name="Przychody" sheetId="8" r:id="rId8"/>
    <sheet name="Zad rządowe" sheetId="9" r:id="rId9"/>
    <sheet name="Dotacje" sheetId="10" r:id="rId10"/>
    <sheet name="Zak.bud i rach.doch" sheetId="11" r:id="rId11"/>
    <sheet name="GFOŚ I inne zał" sheetId="12" r:id="rId12"/>
    <sheet name="Prognoza długu" sheetId="13" r:id="rId13"/>
    <sheet name="Wydatki na programy" sheetId="14" r:id="rId14"/>
  </sheets>
  <definedNames>
    <definedName name="_xlnm.Print_Area" localSheetId="1">'Dochody wg §'!$A$1:$H$136</definedName>
    <definedName name="_xlnm.Print_Area" localSheetId="3">'Inwestycje'!$A$1:$C$70</definedName>
    <definedName name="_xlnm.Print_Area" localSheetId="7">'Przychody'!$A$1:$C$26</definedName>
    <definedName name="_xlnm.Print_Area" localSheetId="4">'Wydatki'!$A$1:$C$231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<sst xmlns="http://schemas.openxmlformats.org/spreadsheetml/2006/main" count="1336" uniqueCount="508">
  <si>
    <t>Lp.</t>
  </si>
  <si>
    <t>Dział</t>
  </si>
  <si>
    <t>Nazwa</t>
  </si>
  <si>
    <t>Leśnictwo</t>
  </si>
  <si>
    <t>Transport i łączność</t>
  </si>
  <si>
    <t>Turystyka</t>
  </si>
  <si>
    <t>Gospodarka mieszkaniowa</t>
  </si>
  <si>
    <t>Administracja publiczna</t>
  </si>
  <si>
    <t>Różne rozliczenia</t>
  </si>
  <si>
    <t>Oświata i wychowanie</t>
  </si>
  <si>
    <t>Gospodarka komunalna i ochrona środowiska</t>
  </si>
  <si>
    <t>Kultura i ochrona dziedzictwa narodowego</t>
  </si>
  <si>
    <t>Razem</t>
  </si>
  <si>
    <t>Podatek leśny</t>
  </si>
  <si>
    <t>Podatek od spadku i darowizn</t>
  </si>
  <si>
    <t>Podatek od czynności cywilnoprawnych</t>
  </si>
  <si>
    <t>Opłata eksploatacyjna za wyd.kopal.</t>
  </si>
  <si>
    <t xml:space="preserve"> od osób fizycznych</t>
  </si>
  <si>
    <t xml:space="preserve"> od osób prawnych</t>
  </si>
  <si>
    <t>Dotacje na zadania własne</t>
  </si>
  <si>
    <t>Subwencja oświatowa</t>
  </si>
  <si>
    <t>Podatek opłacany w formie karty podatkowej</t>
  </si>
  <si>
    <t>Dz Roz.</t>
  </si>
  <si>
    <t>Rolnictwo i łowiectwo</t>
  </si>
  <si>
    <t>Wydatki bieżące</t>
  </si>
  <si>
    <t>Izby rolnicze</t>
  </si>
  <si>
    <t>Gospodarka leśna</t>
  </si>
  <si>
    <t>Pozostała działalność</t>
  </si>
  <si>
    <t>Handel</t>
  </si>
  <si>
    <t>Drogi publiczne gminne</t>
  </si>
  <si>
    <t>Ośrodki informacji turystycznej</t>
  </si>
  <si>
    <t>Gospodarka gruntami i nieruchomościami</t>
  </si>
  <si>
    <t>Działalność usługowa</t>
  </si>
  <si>
    <t>Cmentarze</t>
  </si>
  <si>
    <t>Urzędy wojewódzkie</t>
  </si>
  <si>
    <t>Rady gmin</t>
  </si>
  <si>
    <t>Urzędy gmin</t>
  </si>
  <si>
    <t>Pobór podatków, opłat i niepodatkowych należ.budż</t>
  </si>
  <si>
    <t>Bezpieczeństwo publiczne i ochrona przeciwpożar.</t>
  </si>
  <si>
    <t>Ochotnicze straże pożarne</t>
  </si>
  <si>
    <t>Obsługa długu publicznego</t>
  </si>
  <si>
    <t>Rezerwy ogólne i celowe</t>
  </si>
  <si>
    <t>Rezerwy ogólne</t>
  </si>
  <si>
    <t>Szkoły podstawowe</t>
  </si>
  <si>
    <t>Gimnazja</t>
  </si>
  <si>
    <t>Dowożenie uczniów do szkół</t>
  </si>
  <si>
    <t>0chrona zdrowia</t>
  </si>
  <si>
    <t>Przeciwdziałanie alkoholizmowi</t>
  </si>
  <si>
    <t>Ośrodki wsparcia</t>
  </si>
  <si>
    <t>Składki na ubezpieczenia zdrowotne</t>
  </si>
  <si>
    <t xml:space="preserve">Wydatki bieżące               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</si>
  <si>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</si>
  <si>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</si>
  <si>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</si>
  <si>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</si>
  <si>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</si>
  <si>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ściekowa i ochrona wód</t>
  </si>
  <si>
    <t>Wydatki majątkowe</t>
  </si>
  <si>
    <t>Oczyszczanie miast i wsi</t>
  </si>
  <si>
    <t>Utrzymanie zieleni w miastach i gminach</t>
  </si>
  <si>
    <t>Oświetlenie uliczne</t>
  </si>
  <si>
    <t>Domy i ośrodki kultury, świetlice i kluby</t>
  </si>
  <si>
    <t>Biblioteki</t>
  </si>
  <si>
    <t>Kultura fizyczna i sport</t>
  </si>
  <si>
    <t>Wydatki bieżące – obsługa długu jst</t>
  </si>
  <si>
    <t>Wydatki bieżące, w tym</t>
  </si>
  <si>
    <t>Zasiłki i pomoc w naturze oraz składki na ubez.społ.</t>
  </si>
  <si>
    <t>010</t>
  </si>
  <si>
    <t>01030</t>
  </si>
  <si>
    <t>020</t>
  </si>
  <si>
    <t>02001</t>
  </si>
  <si>
    <t>Wydatki bieżące, w tym:</t>
  </si>
  <si>
    <t xml:space="preserve">W tym wynagrodzenia i pochodne </t>
  </si>
  <si>
    <t xml:space="preserve">Pozostałe wydatki </t>
  </si>
  <si>
    <t xml:space="preserve">Wydatki bieżące </t>
  </si>
  <si>
    <t>W tym wynagrodzenia i pochodne</t>
  </si>
  <si>
    <t>Wynagrodzenia i pochodne</t>
  </si>
  <si>
    <t>Pozostałe wydatki</t>
  </si>
  <si>
    <t>W tym: wynagrodzenia i pochodne</t>
  </si>
  <si>
    <t>Pozostała działalność (m.in. MKP)</t>
  </si>
  <si>
    <t xml:space="preserve">Wynagrodzenia i pochodne </t>
  </si>
  <si>
    <t xml:space="preserve">Zadania własne </t>
  </si>
  <si>
    <t xml:space="preserve">Zadania zlecone </t>
  </si>
  <si>
    <t>Zadania zlecone</t>
  </si>
  <si>
    <t>Wytwarzanie i zaopatryw w energię elekt, gaz, wodę</t>
  </si>
  <si>
    <t xml:space="preserve">Wydatki bieżące, w tym </t>
  </si>
  <si>
    <t>Obsługa pap.wart., kredytów i pożyczek jst</t>
  </si>
  <si>
    <t xml:space="preserve">Opłata skarbowa </t>
  </si>
  <si>
    <t>W tym pochodne od wynagrodzeń</t>
  </si>
  <si>
    <t>Dokształcanie i doskonalenie nauczycieli</t>
  </si>
  <si>
    <t>Wydatki pozostałe</t>
  </si>
  <si>
    <t>I. Wydatki</t>
  </si>
  <si>
    <t>Dz.</t>
  </si>
  <si>
    <t xml:space="preserve">Rozdz  </t>
  </si>
  <si>
    <t>Wyszczególnienie</t>
  </si>
  <si>
    <t>Urzędy Wojewódzkie</t>
  </si>
  <si>
    <t>Zasiłki i pomoc w naturze oraz składki na ubez. społ</t>
  </si>
  <si>
    <t>Ośrodki pomocy społecznej</t>
  </si>
  <si>
    <t xml:space="preserve">   </t>
  </si>
  <si>
    <t xml:space="preserve">Razem wydatki  </t>
  </si>
  <si>
    <t>II. Dochody</t>
  </si>
  <si>
    <t>Dotacje celowe otrzym. z budż.pań. na real.zadań zleconych</t>
  </si>
  <si>
    <t>Zasiłki i pomoc w naturze oraz składki na ubezp.społ.</t>
  </si>
  <si>
    <t xml:space="preserve">Razem dochody  </t>
  </si>
  <si>
    <t>Plan 2004</t>
  </si>
  <si>
    <t>Obrona cywilna</t>
  </si>
  <si>
    <t>Pomoc społeczna</t>
  </si>
  <si>
    <t>Dostarczanie wody</t>
  </si>
  <si>
    <t>Bezpieczeństwo publiczne i ochrona przeciwpoż</t>
  </si>
  <si>
    <t>Rozdz.</t>
  </si>
  <si>
    <t>Spłaty otrzymanych krajowych pożyczek i kredytów</t>
  </si>
  <si>
    <t>Pożyczki krajowe  w tym:</t>
  </si>
  <si>
    <t>Kredyty krajowe w tym:</t>
  </si>
  <si>
    <t>Kredyty krajowe w tym</t>
  </si>
  <si>
    <t>spłata kredytu PKO BP Sanok</t>
  </si>
  <si>
    <t xml:space="preserve">spłata rat pożyczki WFOŚiGW </t>
  </si>
  <si>
    <t>spłata rat pożyczki NFOŚ</t>
  </si>
  <si>
    <t>Kredyt w banku komercyjnym</t>
  </si>
  <si>
    <t>Rozdz</t>
  </si>
  <si>
    <t>Kwota</t>
  </si>
  <si>
    <t>Wydatki</t>
  </si>
  <si>
    <t>Rozd.</t>
  </si>
  <si>
    <t>Wykaz dotacji z budżetu gminy dla zakładów budżetowych</t>
  </si>
  <si>
    <t>Wykaz dotacji z budżetu gminy dla instytucji kultury</t>
  </si>
  <si>
    <t xml:space="preserve">Przychody </t>
  </si>
  <si>
    <t>Nazwa zakładu</t>
  </si>
  <si>
    <t>1.</t>
  </si>
  <si>
    <t>Gazeta Bieszczadzka</t>
  </si>
  <si>
    <t>2.</t>
  </si>
  <si>
    <t>Przedszkole nr 1</t>
  </si>
  <si>
    <t>3.</t>
  </si>
  <si>
    <t>Przedszkole nr 2</t>
  </si>
  <si>
    <t>4.</t>
  </si>
  <si>
    <t>Przychody</t>
  </si>
  <si>
    <t>5.</t>
  </si>
  <si>
    <t>6.</t>
  </si>
  <si>
    <t>7.</t>
  </si>
  <si>
    <t>8.</t>
  </si>
  <si>
    <t>9.</t>
  </si>
  <si>
    <t>10.</t>
  </si>
  <si>
    <t>11.</t>
  </si>
  <si>
    <t>Wykaz udzielonych dotacji dla podmiotów realizujących zadania własne gminy</t>
  </si>
  <si>
    <t>Ochrona zdrowia</t>
  </si>
  <si>
    <t>Przeciwdziałanie alkoholizmowi- cel</t>
  </si>
  <si>
    <t>Zadania  w zakresie kultury fizycznej i sportu</t>
  </si>
  <si>
    <t>Zadania w zak kultury fizycznej i sportu</t>
  </si>
  <si>
    <t>wydatki bieżące</t>
  </si>
  <si>
    <t xml:space="preserve">wpływy z usług </t>
  </si>
  <si>
    <t>Podmiot: MPGK Sp.zoo w Ustrzykach Dolnych</t>
  </si>
  <si>
    <t>Dostarczanie wody - cel</t>
  </si>
  <si>
    <t>Gospodarka ściekowa i ochrona wód - cel</t>
  </si>
  <si>
    <t>Przebudowa chodników w mieście</t>
  </si>
  <si>
    <t>Droga Ropienka</t>
  </si>
  <si>
    <t>Dotacja - wydatki bieżące</t>
  </si>
  <si>
    <t>Cmentarz Brzegi Dolne</t>
  </si>
  <si>
    <t>Dochody od osób pr., od osób fiz. i od innych jednostek nie posiad.osob.pr oraz wydatki związane z ich poborem</t>
  </si>
  <si>
    <t>Załącznik Nr 1</t>
  </si>
  <si>
    <t>Załącznik Nr 2</t>
  </si>
  <si>
    <t>Załącznik Nr 3</t>
  </si>
  <si>
    <t>Różne jednostki obsługi gospodarki mieszkaniowej</t>
  </si>
  <si>
    <t>Załącznik Nr 4</t>
  </si>
  <si>
    <t>Załącznik Nr 5</t>
  </si>
  <si>
    <t>Rozdz §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</si>
  <si>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</si>
  <si>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</si>
  <si>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</si>
  <si>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</si>
  <si>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</si>
  <si>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</si>
  <si>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</si>
  <si>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Dochody</t>
  </si>
  <si>
    <t>Pozostała działalność - dotacje</t>
  </si>
  <si>
    <t>Subwencja wyrównawcza:</t>
  </si>
  <si>
    <t>Plany zagospodarowania przestrzennego</t>
  </si>
  <si>
    <t>12.</t>
  </si>
  <si>
    <t xml:space="preserve">                                                                                                                Załącznik nr 1 </t>
  </si>
  <si>
    <t>§</t>
  </si>
  <si>
    <t>0970</t>
  </si>
  <si>
    <t>Wpływy z różnych dochodów</t>
  </si>
  <si>
    <t>Wpływy ze sprzedaży wyr. i skład. majątkowych</t>
  </si>
  <si>
    <t>0830</t>
  </si>
  <si>
    <t>Wpływy z usług</t>
  </si>
  <si>
    <t>0470</t>
  </si>
  <si>
    <t>Wpływy z opłat za użytkowanie wieczyste</t>
  </si>
  <si>
    <t>0750</t>
  </si>
  <si>
    <t>0770</t>
  </si>
  <si>
    <t>6290</t>
  </si>
  <si>
    <t>2010</t>
  </si>
  <si>
    <t xml:space="preserve">Urzędy gmin </t>
  </si>
  <si>
    <t>0450</t>
  </si>
  <si>
    <t>6310</t>
  </si>
  <si>
    <t>Wpływy z podatku dochodowego od os. fizycznych</t>
  </si>
  <si>
    <t>0350</t>
  </si>
  <si>
    <t>0310</t>
  </si>
  <si>
    <t>Podatek od nieruchomości</t>
  </si>
  <si>
    <t>0320</t>
  </si>
  <si>
    <t>Podatek rolny</t>
  </si>
  <si>
    <t>0330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</si>
  <si>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</si>
  <si>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</si>
  <si>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</si>
  <si>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</si>
  <si>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</si>
  <si>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</si>
  <si>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</si>
  <si>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</si>
  <si>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0500</t>
  </si>
  <si>
    <t>0910</t>
  </si>
  <si>
    <t>Odsetki od nieterminowych wpłat z tyt. pod i opłat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</si>
  <si>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</si>
  <si>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</si>
  <si>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</si>
  <si>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</si>
  <si>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</si>
  <si>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alkoh.</t>
  </si>
  <si>
    <t>0010</t>
  </si>
  <si>
    <t>Podatek dochodowy od osób fizycznych</t>
  </si>
  <si>
    <t>0020</t>
  </si>
  <si>
    <t>Podatek dochodowy od osób prawnych</t>
  </si>
  <si>
    <t>Część oświatowa  subwencji  ogól. dla jst.</t>
  </si>
  <si>
    <t>2920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</si>
  <si>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</si>
  <si>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</si>
  <si>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</si>
  <si>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</si>
  <si>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</si>
  <si>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 xml:space="preserve">Pozostała działalność </t>
  </si>
  <si>
    <t>Zasiłki i pom. w nat. oraz skł. na ubezp. społeczne</t>
  </si>
  <si>
    <t>Zasiłki rodzinne i pielęgnacyjne i wychowawcze</t>
  </si>
  <si>
    <t>Usługi opiekuńcze i specjalistyczne</t>
  </si>
  <si>
    <t>Gospodarka odpadami</t>
  </si>
  <si>
    <t>0400</t>
  </si>
  <si>
    <t>Wpływy z opłaty produktowej</t>
  </si>
  <si>
    <t>2310</t>
  </si>
  <si>
    <t xml:space="preserve">Świadczenia rodzinne oraz składki na ubezpieczenia </t>
  </si>
  <si>
    <t>2030</t>
  </si>
  <si>
    <t>Plan 2005</t>
  </si>
  <si>
    <t>Świadczenia rodzinne oraz składki na ubezpieczenia</t>
  </si>
  <si>
    <t>Wodociąg w  m-ci Stańkowa - projekt</t>
  </si>
  <si>
    <t>Zakupy inwestycyjne</t>
  </si>
  <si>
    <t>Remont budynku UM</t>
  </si>
  <si>
    <t>Wpływy z opłaty miejscowej</t>
  </si>
  <si>
    <t>0440</t>
  </si>
  <si>
    <t>Plan 2006</t>
  </si>
  <si>
    <t>pozostałe</t>
  </si>
  <si>
    <t>zadania zlecone</t>
  </si>
  <si>
    <t>zadania własne</t>
  </si>
  <si>
    <t>Subwencja równoważąca</t>
  </si>
  <si>
    <t>0870</t>
  </si>
  <si>
    <t>Chodnik w m-ci Ustjanowa</t>
  </si>
  <si>
    <t>Droga Łobozew</t>
  </si>
  <si>
    <t xml:space="preserve">Przedszkola </t>
  </si>
  <si>
    <t>subwencje</t>
  </si>
  <si>
    <t>6292</t>
  </si>
  <si>
    <t>Środki na dofin.własnych inwest.gm.pozyskane z in.źr.</t>
  </si>
  <si>
    <t>Dotacje cel. z bud.pań. na r. zad.bież. z zak.adm.rz.</t>
  </si>
  <si>
    <t>Wpływy z opłaty administ. za czynności urzędowe</t>
  </si>
  <si>
    <t xml:space="preserve">Urzędy naczel.org wł pań, kontroli i ochr.prawa </t>
  </si>
  <si>
    <t>Dochody od osób pr.od osób fiz. i in.jedn. oraz wydatki</t>
  </si>
  <si>
    <t>Podatek od działal.gosp.os.fiz.opł. w formie karty pod</t>
  </si>
  <si>
    <t xml:space="preserve">Wpływy z pod.rol.leś.cc.spad. i dar.oraz pod i opł.lok. </t>
  </si>
  <si>
    <t xml:space="preserve">Wpływy z pod. rol.leś.cc.spad. i dar.oraz pod i opł.lok. </t>
  </si>
  <si>
    <t>Wpływy z innych opłat stanow.dochody jst n.p. ustaw</t>
  </si>
  <si>
    <t>Dotacje cel.otrzym z gmin na zad.bież.real. np.porozumień</t>
  </si>
  <si>
    <t>6260</t>
  </si>
  <si>
    <t>Dotacje z funduszy celowych na real.inwest</t>
  </si>
  <si>
    <t>Część równoważąca subwencji ogólnej dla gmin</t>
  </si>
  <si>
    <t>Domy pomocy społecznej</t>
  </si>
  <si>
    <t>Oddziały przedszkolne w szkołach podstawowych</t>
  </si>
  <si>
    <r>
      <t>Udziały gmin w podat. stan. doch. bud. pań</t>
    </r>
    <r>
      <rPr>
        <sz val="10"/>
        <rFont val="Arial Narrow"/>
        <family val="2"/>
      </rPr>
      <t>.</t>
    </r>
  </si>
  <si>
    <r>
      <t xml:space="preserve"> </t>
    </r>
    <r>
      <rPr>
        <u val="single"/>
        <sz val="10"/>
        <rFont val="Arial Narrow"/>
        <family val="2"/>
      </rPr>
      <t>Ośrodki wsparcia</t>
    </r>
  </si>
  <si>
    <t>Urzędy naczel.organów władzy pań., kontroli i ochrony pr. oraz sąd.</t>
  </si>
  <si>
    <t>Udziały w podatku stanowiącym dochód bud.pań  w tym:</t>
  </si>
  <si>
    <t>spłata kredytu BGK</t>
  </si>
  <si>
    <t xml:space="preserve">pożyczki WFOŚiGW </t>
  </si>
  <si>
    <t>(umowy z gminami Powiatu Bieszczadzkiego na współ finansowanie Gazety Bieszczadzkiej)</t>
  </si>
  <si>
    <t>Przedszkole Nr 2 - (dotacja podmiotowa)</t>
  </si>
  <si>
    <t>Przedszkole Nr 1 - (dotacja podmiotowa)</t>
  </si>
  <si>
    <t>PGM -  (dotacja przedmiotowa)</t>
  </si>
  <si>
    <t>Gazeta Bieszczadzka -  (dotacja przedmiotowa)</t>
  </si>
  <si>
    <t>Zakłady budżetowe, w tym:</t>
  </si>
  <si>
    <t>Instytucje kultury, w tym:</t>
  </si>
  <si>
    <t>wpływy z usług  (opłata, żywność)</t>
  </si>
  <si>
    <t xml:space="preserve"> wydatki bieżące </t>
  </si>
  <si>
    <t>pozostałe wydatki -</t>
  </si>
  <si>
    <t xml:space="preserve"> wydatki bieżące-</t>
  </si>
  <si>
    <t xml:space="preserve"> w tym wynagrodzenia i pochodne-</t>
  </si>
  <si>
    <t xml:space="preserve">pozostałe wydatki  - </t>
  </si>
  <si>
    <t xml:space="preserve"> wydatki bieżące - </t>
  </si>
  <si>
    <t xml:space="preserve">w tym wynagrodzenia i pochodne - </t>
  </si>
  <si>
    <t xml:space="preserve">pozostałe wydatki – </t>
  </si>
  <si>
    <t>w tym wynagrodzenia i pochodne -</t>
  </si>
  <si>
    <t>pozostałe wydatki  -</t>
  </si>
  <si>
    <t xml:space="preserve">w tym wynagrodzenia osobowe i poch. - </t>
  </si>
  <si>
    <t>Rachunek dochodów własnych przy ZSP 2</t>
  </si>
  <si>
    <t>Rachunek dochodów własnych przy SP Ustjanowa</t>
  </si>
  <si>
    <t>Rachunek dochodów własnych przy SP Krościenko</t>
  </si>
  <si>
    <t>Rachunek dochodów własnych przy SP Wojtkowa</t>
  </si>
  <si>
    <t>Rachunek dochodów własnych przy SP Hoszów</t>
  </si>
  <si>
    <t>Rachunek dochodów własnych przy SP Łodyna</t>
  </si>
  <si>
    <t>Rachunek dochodów własnych przy SP Równia</t>
  </si>
  <si>
    <t>Rachunek dochodów własnych przy SP Łobozew</t>
  </si>
  <si>
    <t>Rachunek dochodów własnych przy ZSP Ropienka</t>
  </si>
  <si>
    <t>Rachunek dochodów własnych przy SP Bandrów</t>
  </si>
  <si>
    <t>Rachunek dochodów własnych przy ZSP 1</t>
  </si>
  <si>
    <t>2700</t>
  </si>
  <si>
    <t>Zadania w zakresie kultury fizycznej i sportu</t>
  </si>
  <si>
    <t xml:space="preserve">Środki na dofinansowanie własnych zadań bieżących </t>
  </si>
  <si>
    <t>Dochody z najmu i dzierżawy składników  majątkowych.</t>
  </si>
  <si>
    <t>Wpływy z tyt. odpłatnego. nabycia prawa własności nieruchomości</t>
  </si>
  <si>
    <t>Urzędy nacz. organ. władzy pań.kontroli i ochrony pr</t>
  </si>
  <si>
    <t>Dotacje cel.otrzym.bud.pań.na inwestycje  z zak. adm.rząd.</t>
  </si>
  <si>
    <t>Wpływy ze sprzedaży wyr. i skł. majątkowych.</t>
  </si>
  <si>
    <t>Rozwiązanie gospodarki odpadami komunalnymi</t>
  </si>
  <si>
    <t>Przedszkole Nr 1 - projekt dachu</t>
  </si>
  <si>
    <t>Redukcja emisji zanieczyszczeń powietrza - termo modernizacja budynków użyteczności publicznej w gminie Ustrzyki D</t>
  </si>
  <si>
    <t>600</t>
  </si>
  <si>
    <t>20%</t>
  </si>
  <si>
    <t>Dochody na  2006 rok  w dostosowaniu do  klasyfikacji budżetowej</t>
  </si>
  <si>
    <t>cel - dofinansowanie zadań z zakresu kultury fizycznej i sportu</t>
  </si>
  <si>
    <t>(porozumienie z Miastem Przemyśl na dofinansowanie Miejskiego Ośrodka Zapobiegania Uzależnieniom w Przemyślu - zadanie wynikające z Gminnego Programu Profilaktyki i Przeciwdziałania Alkoholizmowi</t>
  </si>
  <si>
    <t>tj: organizacja zajęć sportowych i imprez sportowych, w zakresie piłki nożnej</t>
  </si>
  <si>
    <t>Plan 2007</t>
  </si>
  <si>
    <t>Podatki i opłaty, w tym</t>
  </si>
  <si>
    <t>Podatek od śr.transportowych</t>
  </si>
  <si>
    <t xml:space="preserve">Podatek od posiadania psów </t>
  </si>
  <si>
    <t xml:space="preserve">Opłata targowa </t>
  </si>
  <si>
    <t>Opłata miejscowa</t>
  </si>
  <si>
    <t>Dochody z majątku gminy: sprzedaż, dzierżawa, użytk.wiecz.</t>
  </si>
  <si>
    <t>Dotacje, w tym:</t>
  </si>
  <si>
    <t>Dotacje na zadania real. na podstawie porozumień między jst</t>
  </si>
  <si>
    <t>Subwencje, w tym:</t>
  </si>
  <si>
    <t>Środki ze źródeł pozabudżetowych, wg zawartych umów:</t>
  </si>
  <si>
    <t>Pozostałe dochody, w tym:</t>
  </si>
  <si>
    <t xml:space="preserve">Dochody uzyskiwane przez gminne jednostki budżetowe, w tym                 </t>
  </si>
  <si>
    <t>Dochody z tytułu gospodarki leśnej, w tym</t>
  </si>
  <si>
    <t>Dochody za tenuty obwodów łowieckich 5.000,-</t>
  </si>
  <si>
    <t>Wpływy z opłat za rejestrację podmiotów gospodarczych</t>
  </si>
  <si>
    <t>Wpływy z opłat za zezwolenie za sprzedaż alkoholu</t>
  </si>
  <si>
    <t>Wpływy z tytułu opłaty produktowej</t>
  </si>
  <si>
    <t>Wpływy z tytułu dochodów różnych (rozliczenia z lat ubiegłych)</t>
  </si>
  <si>
    <t>Odsetki od nieterminowo przek. należności stanow. dochody gminy</t>
  </si>
  <si>
    <t>Odsetki od środków finansowych gromadzonych na rach.bankowych</t>
  </si>
  <si>
    <t>5% dochodów uzyskiwanych na rzecz budżetu państwa w związku z realizacją zadań z zak.adm.rządowej</t>
  </si>
  <si>
    <t>2360</t>
  </si>
  <si>
    <t>Pomoc materialna dla uczniów</t>
  </si>
  <si>
    <t xml:space="preserve">§ </t>
  </si>
  <si>
    <t>spłata kredytu BGK EBI</t>
  </si>
  <si>
    <t>spłata kredytu BBS</t>
  </si>
  <si>
    <t>pożyczka NFOŚIGW</t>
  </si>
  <si>
    <t>pożyczka WFOŚIGW - termomodernizacja szkół</t>
  </si>
  <si>
    <t>Drogi publiczne wojewódzkie</t>
  </si>
  <si>
    <t>Droga Nowosielce</t>
  </si>
  <si>
    <t>Droga Brelików</t>
  </si>
  <si>
    <t>Oświetlenie Stańkowa</t>
  </si>
  <si>
    <t>Oświetlenie Jureczkowa</t>
  </si>
  <si>
    <t>Oświetlenie Równia</t>
  </si>
  <si>
    <t>Oświetlenie Brelików Leszczowate</t>
  </si>
  <si>
    <t>2708</t>
  </si>
  <si>
    <t>801</t>
  </si>
  <si>
    <t>80104</t>
  </si>
  <si>
    <t>921</t>
  </si>
  <si>
    <t>92195</t>
  </si>
  <si>
    <t xml:space="preserve">Plan przychodów i wydatków zakładów budżetowych </t>
  </si>
  <si>
    <t>Przychody i rozchody budżetu</t>
  </si>
  <si>
    <t xml:space="preserve">Dochody i wydatki związane z realizacją zadań z zakresu administracji rządowej </t>
  </si>
  <si>
    <t>92116</t>
  </si>
  <si>
    <t>92109</t>
  </si>
  <si>
    <t>Rachunek dochodów własnych przy G Wojtkówka</t>
  </si>
  <si>
    <t>13.</t>
  </si>
  <si>
    <t>Rachunek dochodów własnych przy Urzędzie Miejskim</t>
  </si>
  <si>
    <t>wpływy z darowizny</t>
  </si>
  <si>
    <t>Pozostałe zadania w zakresie polityki społecznej</t>
  </si>
  <si>
    <t>Urzędy naczel.organów władzy pań, kontroli i ochrony prawa oraz sąd.</t>
  </si>
  <si>
    <t>Dochody od osób pr,osób fiz i od inn.jedn.niepos.osob.pr oraz wydatki związane z ich poborem</t>
  </si>
  <si>
    <t>Dochody budżetu gminy  wg działów klasyfikacji budżetowej</t>
  </si>
  <si>
    <t xml:space="preserve">Dochody  budżetu gminy wg źródeł powstawania </t>
  </si>
  <si>
    <t xml:space="preserve">                        Wydatki budżetu gminy  wg działów i rozdziałów                                                                </t>
  </si>
  <si>
    <t>Rozchody ogółem</t>
  </si>
  <si>
    <t>Przychody ogółem</t>
  </si>
  <si>
    <t>60013</t>
  </si>
  <si>
    <t>Drogi publiczne wojewódzkie - cel</t>
  </si>
  <si>
    <t xml:space="preserve">Dochody i wydatki związane z realizacją zadań wykonywanych na podstawie porozumień (umów) między jednostkami samorządu terytorialnego </t>
  </si>
  <si>
    <t xml:space="preserve">Przychody z zaciągniętych pożyczek i kredytów </t>
  </si>
  <si>
    <t>I.</t>
  </si>
  <si>
    <t>Stan środków obrotowych na początek roku</t>
  </si>
  <si>
    <t>II.</t>
  </si>
  <si>
    <t>III.</t>
  </si>
  <si>
    <t>IV.</t>
  </si>
  <si>
    <t>Stan środków obrotowych na koniec roku</t>
  </si>
  <si>
    <t>Wpływy z różnych opłat</t>
  </si>
  <si>
    <t>Wodociąg w  m-ci Ropienka (cel - dostarczanie wody)</t>
  </si>
  <si>
    <t>Plan przychodów i wydatków Gminnego Funduszu</t>
  </si>
  <si>
    <t>Ochrony Środowiska i Gospodarki Wodnej</t>
  </si>
  <si>
    <t>Prognoza kwoty długu i spłat na rok 2007 i lata następne</t>
  </si>
  <si>
    <t>w złotych</t>
  </si>
  <si>
    <t>Kwota długu na dzień 31.12.2006</t>
  </si>
  <si>
    <t>Prognoza</t>
  </si>
  <si>
    <t>1.1</t>
  </si>
  <si>
    <t>1.1.1</t>
  </si>
  <si>
    <t>pożyczek</t>
  </si>
  <si>
    <t>1.1.2</t>
  </si>
  <si>
    <t>kredytów</t>
  </si>
  <si>
    <t>1.2</t>
  </si>
  <si>
    <t>1.2.1</t>
  </si>
  <si>
    <t>pożyczki</t>
  </si>
  <si>
    <t>1.2.2</t>
  </si>
  <si>
    <t>1.3</t>
  </si>
  <si>
    <t>Obsługa długu (2.1+2.2+2.3)</t>
  </si>
  <si>
    <t>2.1</t>
  </si>
  <si>
    <t>2.1.1</t>
  </si>
  <si>
    <t>2.1.2</t>
  </si>
  <si>
    <t>2.2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</si>
  <si>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</si>
  <si>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</si>
  <si>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</si>
  <si>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</si>
  <si>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</si>
  <si>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</si>
  <si>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</si>
  <si>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kredyty</t>
  </si>
  <si>
    <t xml:space="preserve">Projekt adaptacji budynku SPZOZ na Przedszkole </t>
  </si>
  <si>
    <t>Przeciwdziałanie narkomanii</t>
  </si>
  <si>
    <t>PGM</t>
  </si>
  <si>
    <t>Załącznik Nr 13</t>
  </si>
  <si>
    <t>Roboty budowlane w Zespole Szkół Publicznych Nr 1</t>
  </si>
  <si>
    <t>Roboty budowlane w Szkole Podstawowej w Ustjanowej</t>
  </si>
  <si>
    <t xml:space="preserve">Umowa o dofinansowanie EFS - Program szkoleniowy dla mieszkańców </t>
  </si>
  <si>
    <t xml:space="preserve">Umowa o dofinansowanie EFS - Subsydiowane zatrudnienie </t>
  </si>
  <si>
    <t>Umowa o dofinansowanie Eko Fundusz</t>
  </si>
  <si>
    <t>Umowa o dofinansowanie WFOŚiGW</t>
  </si>
  <si>
    <t>Sprzedaż składników majątek. 5.000,-</t>
  </si>
  <si>
    <t>Umowa bilateralna - Program Inicjatywy Wspólnotowej EQUAL</t>
  </si>
  <si>
    <t>Dochody z tytułu działalności usługowej (opłaty cmentarne,)</t>
  </si>
  <si>
    <t>Dotacje celowe otrzymane z bud.pań na realizację zadań zleconych</t>
  </si>
  <si>
    <t>Dotacje celowe otrzymane z bud.pań na realizację zadań własnych</t>
  </si>
  <si>
    <t>Wodociąg w m-ci Dźwiniacz Łodyna - projekt</t>
  </si>
  <si>
    <t>wydatki inwestycyjne</t>
  </si>
  <si>
    <t>Projekt</t>
  </si>
  <si>
    <t>Planowane wydatki</t>
  </si>
  <si>
    <t>Środki
z budżetu krajowego</t>
  </si>
  <si>
    <t>Środki
z budżetu UE</t>
  </si>
  <si>
    <t>2007 r.</t>
  </si>
  <si>
    <t>Razem wydatki:</t>
  </si>
  <si>
    <t>Wydatki bieżące razem:</t>
  </si>
  <si>
    <t>Program: PIW EQUAL</t>
  </si>
  <si>
    <t>Nazwa projektu: Partnerstwo na Rzecz Aktywizacji Zawodowej ANIMATOR</t>
  </si>
  <si>
    <t>852-85203</t>
  </si>
  <si>
    <t>Klasyfikacja (dział, rozdział)</t>
  </si>
  <si>
    <t>Wydatki na programy i projekty realizowane ze środków pochodzących z funduszy strukturalnych i Funduszu Spójności</t>
  </si>
  <si>
    <t xml:space="preserve">Wydatki
w okresie realizacji Projektu </t>
  </si>
  <si>
    <t xml:space="preserve">Wydatki razem </t>
  </si>
  <si>
    <t>853-85395</t>
  </si>
  <si>
    <t>Nazwa projektu: Nowe możliwości - subsydiowanie szansą na nową pracę</t>
  </si>
  <si>
    <t>Nazwa projektu: Nowe kwalifikacje szansą na nową pracę - program szkoleniowy dla mieszkańców gminy Ustrzyki Dolne</t>
  </si>
  <si>
    <t xml:space="preserve">Ogółem </t>
  </si>
  <si>
    <t>Załącznik Nr 14</t>
  </si>
  <si>
    <t>Deficyt</t>
  </si>
  <si>
    <t>Rozchody</t>
  </si>
  <si>
    <t xml:space="preserve">Program: EFS ZPORR </t>
  </si>
  <si>
    <t>Działanie: 2.3 „Reorientacja zawodowa osób odchodzących z rolnictwa”.</t>
  </si>
  <si>
    <t>Działanie: II</t>
  </si>
  <si>
    <t>Priorytet: "Zwalczanie dyskryminacji i nierówności na rynku pracy</t>
  </si>
  <si>
    <t>Priorytet: 2</t>
  </si>
  <si>
    <t xml:space="preserve">Poprawa funkcjonalności infrastrukturalnej inicjatyw gospodarczo - społecznych poprzez przebudowę płyty Rynku w Ustrzykach Dolnych. </t>
  </si>
  <si>
    <t>Umowa o dofinansowanie - ZPORR "Remont ulic"</t>
  </si>
  <si>
    <t>Umowa o dofinansowanie INTERREG - Reg.Cent.Kult.Pogranicza</t>
  </si>
  <si>
    <t>6298</t>
  </si>
  <si>
    <t>Remont budynku ul. Naftowa</t>
  </si>
  <si>
    <t>Oczyszczalnia ścieków w M.-ci Liskowate - projekt</t>
  </si>
  <si>
    <t>Hala sportowa - projekt</t>
  </si>
  <si>
    <t>Chodnik w m.-ci Krościenko projekt</t>
  </si>
  <si>
    <t>Dochody Krytej Pływalni 650.000,- (opłaty za korzystanie z basenu)</t>
  </si>
  <si>
    <t>Dochody BCIiP 20.000,- (sprzedż biletów, pamiątek )</t>
  </si>
  <si>
    <r>
      <t xml:space="preserve">Zobowiązania wg tytułów dłużnych: </t>
    </r>
    <r>
      <rPr>
        <sz val="8"/>
        <rFont val="Arial Narrow"/>
        <family val="2"/>
      </rPr>
      <t>(1.1+1.2+1.3)</t>
    </r>
  </si>
  <si>
    <t>Zaciągnięte zobowiązania  z tytułu:</t>
  </si>
  <si>
    <t xml:space="preserve">Spłata rat kapitałowych </t>
  </si>
  <si>
    <t xml:space="preserve">Planowane zobowiązania w roku budż </t>
  </si>
  <si>
    <t xml:space="preserve">długu </t>
  </si>
  <si>
    <t xml:space="preserve">spłaty zadłużenia </t>
  </si>
  <si>
    <t xml:space="preserve">Plan dochodów i wydatków dochodów własnych </t>
  </si>
  <si>
    <t>ZSP Nr 1 - projekt dachu</t>
  </si>
  <si>
    <t>Wydatki bieżące - dotacja przedmiotowa</t>
  </si>
  <si>
    <t>Wydatki majątkowe - dotacja celowa</t>
  </si>
  <si>
    <t>Wydatki bieżące - dotacja  podmiotowa</t>
  </si>
  <si>
    <t>Wydatki bieżące - dotacja celowa</t>
  </si>
  <si>
    <t xml:space="preserve">Kolektor sanitarny ul. 29 Listopada, ul. Bieszczadzka </t>
  </si>
  <si>
    <t>Wydatki bieżące - dotacja podmiotowa</t>
  </si>
  <si>
    <t>Dotacja celowa</t>
  </si>
  <si>
    <t>Biblioteka - (dotacja podmiotowa)</t>
  </si>
  <si>
    <t>dotacja celowa - 8.000,-</t>
  </si>
  <si>
    <t>Ustrzycki Dom Kultury - (dotacja podmiotowa)</t>
  </si>
  <si>
    <t xml:space="preserve">dotacja przedmiotowa               </t>
  </si>
  <si>
    <t>dotacja podmiotowa z budżetu</t>
  </si>
  <si>
    <t>(dotacja przedmiotowa)</t>
  </si>
  <si>
    <t>(dotacja celowa)</t>
  </si>
  <si>
    <t>Doposażenie szkoły - zakupy inwestycyjne w ZSP NR 1</t>
  </si>
  <si>
    <t>Doposażenie szkoły - zakupy inwestycyjne w ZSP Nr 2</t>
  </si>
  <si>
    <t>Wykup działki w m.-ci Stańkowa</t>
  </si>
  <si>
    <t>dotacja celowa - 50.000,-</t>
  </si>
  <si>
    <t>Remont budynków ul. Rynek</t>
  </si>
  <si>
    <t>Remont chodnika w ciągu drogi wojewódzkiej</t>
  </si>
  <si>
    <t>Chodnik w m.-ci Brzegi Dolne (cmentarz) projekt</t>
  </si>
  <si>
    <t>%</t>
  </si>
  <si>
    <t>(wydatki na pomoc finansową udzielaną między jst na dofinansowanie własnych zadań inwestycyjnych - porozumienie ze Samorządem Województwa Podkarpackiego na dofinansowanie remontu chodnika w ciągu drogi wojewódzkiej w Ustrzykach Dolnych  w wysokości 50.000</t>
  </si>
  <si>
    <t>Poprawa funkcjonalności komunikacyjnej na terenach rekreacyjno - inwestycyjnych w Ustrzykach Dolnych - Etap II</t>
  </si>
  <si>
    <t xml:space="preserve">                        Wydatki budżetu gminy                                                 </t>
  </si>
  <si>
    <t>Wpływy i wydatki związane z gromadzeniem opłat produktowych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</si>
</sst>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_z_ł_-;\-* #,##0.0\ _z_ł_-;_-* &quot;-&quot;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26">
    <font>
      <sz val="10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</font>
    <font>
      <b/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8" fontId="5" fillId="0" borderId="0" xfId="15" applyNumberFormat="1" applyFont="1" applyAlignment="1">
      <alignment horizontal="left"/>
    </xf>
    <xf numFmtId="168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168" fontId="5" fillId="0" borderId="2" xfId="15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8" fontId="4" fillId="0" borderId="4" xfId="15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8" fontId="7" fillId="0" borderId="4" xfId="15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8" fontId="5" fillId="0" borderId="4" xfId="15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8" fontId="5" fillId="0" borderId="7" xfId="15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168" fontId="4" fillId="0" borderId="8" xfId="15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168" fontId="5" fillId="0" borderId="8" xfId="15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68" fontId="5" fillId="0" borderId="6" xfId="15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168" fontId="5" fillId="0" borderId="3" xfId="15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8" fontId="4" fillId="0" borderId="5" xfId="15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8" fontId="6" fillId="0" borderId="6" xfId="15" applyNumberFormat="1" applyFont="1" applyBorder="1" applyAlignment="1">
      <alignment horizontal="left" vertical="top" wrapText="1"/>
    </xf>
    <xf numFmtId="168" fontId="4" fillId="0" borderId="13" xfId="15" applyNumberFormat="1" applyFont="1" applyBorder="1" applyAlignment="1">
      <alignment horizontal="left" vertical="top" wrapText="1"/>
    </xf>
    <xf numFmtId="168" fontId="7" fillId="0" borderId="0" xfId="15" applyNumberFormat="1" applyFont="1" applyBorder="1" applyAlignment="1">
      <alignment horizontal="left" vertical="top" wrapText="1"/>
    </xf>
    <xf numFmtId="168" fontId="7" fillId="0" borderId="6" xfId="15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168" fontId="5" fillId="0" borderId="0" xfId="15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168" fontId="5" fillId="0" borderId="12" xfId="15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168" fontId="4" fillId="0" borderId="6" xfId="15" applyNumberFormat="1" applyFont="1" applyBorder="1" applyAlignment="1">
      <alignment horizontal="left" vertical="top" wrapText="1"/>
    </xf>
    <xf numFmtId="168" fontId="4" fillId="0" borderId="0" xfId="15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8" fontId="4" fillId="0" borderId="7" xfId="15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9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/>
    </xf>
    <xf numFmtId="0" fontId="4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8" fontId="9" fillId="0" borderId="0" xfId="15" applyNumberFormat="1" applyFont="1" applyAlignment="1">
      <alignment/>
    </xf>
    <xf numFmtId="168" fontId="10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5" fillId="0" borderId="8" xfId="0" applyFont="1" applyBorder="1" applyAlignment="1">
      <alignment horizontal="left" vertical="top" wrapText="1"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68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8" fontId="4" fillId="0" borderId="0" xfId="15" applyNumberFormat="1" applyFont="1" applyAlignment="1">
      <alignment horizontal="center"/>
    </xf>
    <xf numFmtId="168" fontId="4" fillId="0" borderId="0" xfId="15" applyNumberFormat="1" applyFont="1" applyAlignment="1">
      <alignment/>
    </xf>
    <xf numFmtId="168" fontId="5" fillId="0" borderId="0" xfId="15" applyNumberFormat="1" applyFont="1" applyBorder="1" applyAlignment="1">
      <alignment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8" fontId="5" fillId="0" borderId="5" xfId="15" applyNumberFormat="1" applyFont="1" applyBorder="1" applyAlignment="1">
      <alignment horizontal="left" vertical="top" wrapText="1"/>
    </xf>
    <xf numFmtId="168" fontId="5" fillId="0" borderId="13" xfId="15" applyNumberFormat="1" applyFont="1" applyBorder="1" applyAlignment="1">
      <alignment horizontal="left" vertical="top" wrapText="1"/>
    </xf>
    <xf numFmtId="49" fontId="5" fillId="0" borderId="0" xfId="15" applyNumberFormat="1" applyFont="1" applyAlignment="1">
      <alignment horizontal="left"/>
    </xf>
    <xf numFmtId="43" fontId="5" fillId="0" borderId="0" xfId="15" applyFont="1" applyAlignment="1">
      <alignment horizontal="left" vertical="justify"/>
    </xf>
    <xf numFmtId="43" fontId="5" fillId="0" borderId="6" xfId="15" applyFont="1" applyBorder="1" applyAlignment="1">
      <alignment/>
    </xf>
    <xf numFmtId="43" fontId="5" fillId="0" borderId="0" xfId="15" applyFont="1" applyAlignment="1">
      <alignment horizontal="left"/>
    </xf>
    <xf numFmtId="43" fontId="5" fillId="0" borderId="2" xfId="15" applyFont="1" applyBorder="1" applyAlignment="1">
      <alignment horizontal="left" vertical="top" wrapText="1"/>
    </xf>
    <xf numFmtId="43" fontId="4" fillId="0" borderId="4" xfId="15" applyFont="1" applyBorder="1" applyAlignment="1">
      <alignment horizontal="left" vertical="top" wrapText="1"/>
    </xf>
    <xf numFmtId="43" fontId="7" fillId="0" borderId="4" xfId="15" applyFont="1" applyBorder="1" applyAlignment="1">
      <alignment horizontal="left" vertical="top" wrapText="1"/>
    </xf>
    <xf numFmtId="43" fontId="5" fillId="0" borderId="4" xfId="15" applyFont="1" applyBorder="1" applyAlignment="1">
      <alignment horizontal="left" vertical="top" wrapText="1"/>
    </xf>
    <xf numFmtId="43" fontId="5" fillId="0" borderId="7" xfId="15" applyFont="1" applyBorder="1" applyAlignment="1">
      <alignment horizontal="left" vertical="top" wrapText="1"/>
    </xf>
    <xf numFmtId="43" fontId="4" fillId="0" borderId="8" xfId="15" applyFont="1" applyBorder="1" applyAlignment="1">
      <alignment horizontal="left" vertical="top" wrapText="1"/>
    </xf>
    <xf numFmtId="43" fontId="5" fillId="0" borderId="6" xfId="15" applyFont="1" applyBorder="1" applyAlignment="1">
      <alignment horizontal="left" vertical="top" wrapText="1"/>
    </xf>
    <xf numFmtId="43" fontId="5" fillId="0" borderId="3" xfId="15" applyFont="1" applyBorder="1" applyAlignment="1">
      <alignment horizontal="left" vertical="top" wrapText="1"/>
    </xf>
    <xf numFmtId="43" fontId="4" fillId="0" borderId="5" xfId="15" applyFont="1" applyBorder="1" applyAlignment="1">
      <alignment horizontal="left" vertical="top" wrapText="1"/>
    </xf>
    <xf numFmtId="43" fontId="6" fillId="0" borderId="6" xfId="15" applyFont="1" applyBorder="1" applyAlignment="1">
      <alignment horizontal="left" vertical="top" wrapText="1"/>
    </xf>
    <xf numFmtId="43" fontId="7" fillId="0" borderId="6" xfId="15" applyFont="1" applyBorder="1" applyAlignment="1">
      <alignment horizontal="left" vertical="top" wrapText="1"/>
    </xf>
    <xf numFmtId="43" fontId="4" fillId="0" borderId="6" xfId="15" applyFont="1" applyBorder="1" applyAlignment="1">
      <alignment horizontal="left" vertical="top" wrapText="1"/>
    </xf>
    <xf numFmtId="43" fontId="5" fillId="0" borderId="8" xfId="15" applyFont="1" applyBorder="1" applyAlignment="1">
      <alignment horizontal="left" vertical="top" wrapText="1"/>
    </xf>
    <xf numFmtId="43" fontId="4" fillId="0" borderId="7" xfId="15" applyFont="1" applyBorder="1" applyAlignment="1">
      <alignment horizontal="left" vertical="top" wrapText="1"/>
    </xf>
    <xf numFmtId="43" fontId="5" fillId="0" borderId="0" xfId="15" applyFont="1" applyAlignment="1">
      <alignment/>
    </xf>
    <xf numFmtId="43" fontId="5" fillId="0" borderId="7" xfId="15" applyFont="1" applyBorder="1" applyAlignment="1">
      <alignment horizontal="justify" vertical="justify"/>
    </xf>
    <xf numFmtId="0" fontId="6" fillId="0" borderId="15" xfId="0" applyFont="1" applyBorder="1" applyAlignment="1">
      <alignment horizontal="left" vertical="top" wrapText="1"/>
    </xf>
    <xf numFmtId="43" fontId="5" fillId="0" borderId="4" xfId="15" applyFont="1" applyBorder="1" applyAlignment="1">
      <alignment horizontal="justify" vertical="justify" wrapText="1"/>
    </xf>
    <xf numFmtId="43" fontId="5" fillId="0" borderId="6" xfId="15" applyFont="1" applyBorder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8" fontId="11" fillId="0" borderId="0" xfId="15" applyNumberFormat="1" applyFont="1" applyBorder="1" applyAlignment="1">
      <alignment horizontal="left" vertical="top" wrapText="1"/>
    </xf>
    <xf numFmtId="168" fontId="11" fillId="0" borderId="6" xfId="15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3" fontId="4" fillId="0" borderId="5" xfId="15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43" fontId="4" fillId="0" borderId="8" xfId="15" applyFont="1" applyBorder="1" applyAlignment="1">
      <alignment/>
    </xf>
    <xf numFmtId="43" fontId="5" fillId="0" borderId="4" xfId="15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4" xfId="15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8" fontId="5" fillId="0" borderId="0" xfId="15" applyNumberFormat="1" applyFont="1" applyAlignment="1">
      <alignment horizontal="center" vertical="justify"/>
    </xf>
    <xf numFmtId="0" fontId="5" fillId="0" borderId="10" xfId="0" applyFont="1" applyFill="1" applyBorder="1" applyAlignment="1">
      <alignment vertical="top" wrapText="1"/>
    </xf>
    <xf numFmtId="43" fontId="11" fillId="0" borderId="6" xfId="15" applyFont="1" applyBorder="1" applyAlignment="1">
      <alignment horizontal="left" vertical="top" wrapText="1"/>
    </xf>
    <xf numFmtId="43" fontId="5" fillId="0" borderId="6" xfId="15" applyFont="1" applyBorder="1" applyAlignment="1">
      <alignment horizontal="center"/>
    </xf>
    <xf numFmtId="0" fontId="5" fillId="0" borderId="6" xfId="0" applyFont="1" applyFill="1" applyBorder="1" applyAlignment="1">
      <alignment vertical="top" wrapText="1"/>
    </xf>
    <xf numFmtId="43" fontId="5" fillId="0" borderId="5" xfId="15" applyFont="1" applyBorder="1" applyAlignment="1">
      <alignment horizontal="center"/>
    </xf>
    <xf numFmtId="43" fontId="6" fillId="0" borderId="6" xfId="15" applyFont="1" applyBorder="1" applyAlignment="1">
      <alignment horizontal="center"/>
    </xf>
    <xf numFmtId="43" fontId="5" fillId="0" borderId="3" xfId="15" applyFont="1" applyBorder="1" applyAlignment="1">
      <alignment horizontal="center"/>
    </xf>
    <xf numFmtId="43" fontId="5" fillId="0" borderId="0" xfId="15" applyFont="1" applyAlignment="1">
      <alignment horizontal="center"/>
    </xf>
    <xf numFmtId="43" fontId="7" fillId="0" borderId="6" xfId="15" applyFont="1" applyBorder="1" applyAlignment="1">
      <alignment horizontal="center"/>
    </xf>
    <xf numFmtId="0" fontId="5" fillId="0" borderId="6" xfId="0" applyFont="1" applyBorder="1" applyAlignment="1">
      <alignment horizontal="right" vertical="top" wrapText="1"/>
    </xf>
    <xf numFmtId="43" fontId="5" fillId="0" borderId="6" xfId="15" applyFont="1" applyBorder="1" applyAlignment="1">
      <alignment horizontal="justify"/>
    </xf>
    <xf numFmtId="43" fontId="5" fillId="0" borderId="6" xfId="15" applyFont="1" applyBorder="1" applyAlignment="1">
      <alignment vertical="justify" wrapText="1"/>
    </xf>
    <xf numFmtId="43" fontId="5" fillId="0" borderId="4" xfId="15" applyFont="1" applyBorder="1" applyAlignment="1">
      <alignment vertical="justify" wrapText="1"/>
    </xf>
    <xf numFmtId="0" fontId="5" fillId="0" borderId="3" xfId="0" applyFont="1" applyBorder="1" applyAlignment="1">
      <alignment horizontal="center"/>
    </xf>
    <xf numFmtId="43" fontId="5" fillId="0" borderId="8" xfId="15" applyFont="1" applyBorder="1" applyAlignment="1">
      <alignment horizontal="center" vertical="top" wrapText="1"/>
    </xf>
    <xf numFmtId="43" fontId="5" fillId="0" borderId="4" xfId="15" applyFont="1" applyBorder="1" applyAlignment="1">
      <alignment horizontal="center" vertical="top" wrapText="1"/>
    </xf>
    <xf numFmtId="43" fontId="5" fillId="0" borderId="7" xfId="15" applyFont="1" applyBorder="1" applyAlignment="1">
      <alignment horizontal="center" vertical="top" wrapText="1"/>
    </xf>
    <xf numFmtId="43" fontId="4" fillId="0" borderId="0" xfId="15" applyFont="1" applyAlignment="1">
      <alignment horizontal="left" wrapText="1"/>
    </xf>
    <xf numFmtId="43" fontId="4" fillId="0" borderId="0" xfId="15" applyFont="1" applyBorder="1" applyAlignment="1">
      <alignment horizontal="left" vertical="top" wrapText="1"/>
    </xf>
    <xf numFmtId="43" fontId="5" fillId="0" borderId="20" xfId="15" applyFont="1" applyBorder="1" applyAlignment="1">
      <alignment horizontal="center"/>
    </xf>
    <xf numFmtId="43" fontId="13" fillId="0" borderId="0" xfId="15" applyFont="1" applyAlignment="1">
      <alignment horizontal="center"/>
    </xf>
    <xf numFmtId="43" fontId="5" fillId="0" borderId="5" xfId="15" applyFont="1" applyBorder="1" applyAlignment="1">
      <alignment/>
    </xf>
    <xf numFmtId="43" fontId="5" fillId="0" borderId="3" xfId="15" applyFont="1" applyBorder="1" applyAlignment="1">
      <alignment/>
    </xf>
    <xf numFmtId="43" fontId="5" fillId="0" borderId="0" xfId="15" applyFont="1" applyBorder="1" applyAlignment="1">
      <alignment/>
    </xf>
    <xf numFmtId="0" fontId="5" fillId="0" borderId="21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43" fontId="4" fillId="0" borderId="1" xfId="15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43" fontId="5" fillId="0" borderId="1" xfId="15" applyFont="1" applyBorder="1" applyAlignment="1">
      <alignment horizontal="center" vertical="top"/>
    </xf>
    <xf numFmtId="43" fontId="4" fillId="0" borderId="5" xfId="15" applyFont="1" applyBorder="1" applyAlignment="1">
      <alignment horizontal="center" vertical="top"/>
    </xf>
    <xf numFmtId="43" fontId="4" fillId="0" borderId="5" xfId="15" applyFont="1" applyBorder="1" applyAlignment="1">
      <alignment vertical="top"/>
    </xf>
    <xf numFmtId="43" fontId="5" fillId="0" borderId="6" xfId="15" applyFont="1" applyBorder="1" applyAlignment="1">
      <alignment vertical="top"/>
    </xf>
    <xf numFmtId="43" fontId="5" fillId="0" borderId="3" xfId="15" applyFont="1" applyBorder="1" applyAlignment="1">
      <alignment vertical="top"/>
    </xf>
    <xf numFmtId="43" fontId="4" fillId="0" borderId="6" xfId="15" applyFont="1" applyBorder="1" applyAlignment="1">
      <alignment vertical="top" wrapText="1"/>
    </xf>
    <xf numFmtId="43" fontId="4" fillId="0" borderId="8" xfId="15" applyFont="1" applyBorder="1" applyAlignment="1">
      <alignment vertical="top"/>
    </xf>
    <xf numFmtId="43" fontId="5" fillId="0" borderId="4" xfId="15" applyFont="1" applyBorder="1" applyAlignment="1">
      <alignment vertical="top"/>
    </xf>
    <xf numFmtId="43" fontId="5" fillId="0" borderId="7" xfId="15" applyFont="1" applyBorder="1" applyAlignment="1">
      <alignment vertical="top"/>
    </xf>
    <xf numFmtId="43" fontId="5" fillId="0" borderId="0" xfId="0" applyNumberFormat="1" applyFont="1" applyAlignment="1">
      <alignment horizontal="center" vertical="top"/>
    </xf>
    <xf numFmtId="43" fontId="13" fillId="0" borderId="0" xfId="15" applyFont="1" applyAlignment="1">
      <alignment vertical="top"/>
    </xf>
    <xf numFmtId="43" fontId="5" fillId="0" borderId="3" xfId="15" applyFont="1" applyBorder="1" applyAlignment="1">
      <alignment vertical="top" wrapText="1"/>
    </xf>
    <xf numFmtId="43" fontId="4" fillId="0" borderId="6" xfId="15" applyFont="1" applyBorder="1" applyAlignment="1">
      <alignment vertical="top"/>
    </xf>
    <xf numFmtId="43" fontId="5" fillId="0" borderId="6" xfId="15" applyFont="1" applyBorder="1" applyAlignment="1">
      <alignment vertical="top" wrapText="1"/>
    </xf>
    <xf numFmtId="43" fontId="5" fillId="0" borderId="4" xfId="15" applyFont="1" applyBorder="1" applyAlignment="1">
      <alignment vertical="top" wrapText="1"/>
    </xf>
    <xf numFmtId="43" fontId="4" fillId="0" borderId="8" xfId="15" applyFont="1" applyBorder="1" applyAlignment="1">
      <alignment vertical="top" wrapText="1"/>
    </xf>
    <xf numFmtId="43" fontId="5" fillId="0" borderId="7" xfId="15" applyFont="1" applyBorder="1" applyAlignment="1">
      <alignment vertical="top" wrapText="1"/>
    </xf>
    <xf numFmtId="43" fontId="5" fillId="0" borderId="4" xfId="15" applyFont="1" applyFill="1" applyBorder="1" applyAlignment="1">
      <alignment vertical="top" wrapText="1"/>
    </xf>
    <xf numFmtId="43" fontId="5" fillId="0" borderId="6" xfId="15" applyFont="1" applyBorder="1" applyAlignment="1">
      <alignment horizontal="justify" vertical="top"/>
    </xf>
    <xf numFmtId="43" fontId="4" fillId="0" borderId="6" xfId="15" applyFont="1" applyBorder="1" applyAlignment="1">
      <alignment horizontal="center" vertical="top"/>
    </xf>
    <xf numFmtId="43" fontId="5" fillId="0" borderId="6" xfId="15" applyFont="1" applyBorder="1" applyAlignment="1">
      <alignment horizontal="center" vertical="top"/>
    </xf>
    <xf numFmtId="43" fontId="4" fillId="0" borderId="8" xfId="15" applyFont="1" applyBorder="1" applyAlignment="1">
      <alignment horizontal="center" vertical="top"/>
    </xf>
    <xf numFmtId="43" fontId="5" fillId="0" borderId="4" xfId="15" applyFont="1" applyBorder="1" applyAlignment="1">
      <alignment horizontal="center" vertical="top"/>
    </xf>
    <xf numFmtId="43" fontId="11" fillId="0" borderId="0" xfId="15" applyFont="1" applyAlignment="1">
      <alignment horizontal="center" vertical="top"/>
    </xf>
    <xf numFmtId="43" fontId="5" fillId="0" borderId="6" xfId="15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3" fontId="4" fillId="2" borderId="1" xfId="15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left" vertical="top" wrapText="1"/>
    </xf>
    <xf numFmtId="43" fontId="4" fillId="2" borderId="5" xfId="15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vertical="top" wrapText="1"/>
    </xf>
    <xf numFmtId="43" fontId="4" fillId="2" borderId="1" xfId="15" applyFont="1" applyFill="1" applyBorder="1" applyAlignment="1">
      <alignment horizontal="center" vertical="center"/>
    </xf>
    <xf numFmtId="43" fontId="4" fillId="2" borderId="5" xfId="15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top" wrapText="1"/>
    </xf>
    <xf numFmtId="43" fontId="4" fillId="2" borderId="5" xfId="15" applyFont="1" applyFill="1" applyBorder="1" applyAlignment="1">
      <alignment horizontal="center" vertical="top" wrapText="1"/>
    </xf>
    <xf numFmtId="43" fontId="4" fillId="0" borderId="6" xfId="15" applyFont="1" applyBorder="1" applyAlignment="1">
      <alignment/>
    </xf>
    <xf numFmtId="0" fontId="4" fillId="2" borderId="23" xfId="0" applyFont="1" applyFill="1" applyBorder="1" applyAlignment="1">
      <alignment horizontal="center" vertical="top" wrapText="1"/>
    </xf>
    <xf numFmtId="43" fontId="4" fillId="2" borderId="1" xfId="15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right" vertical="top" wrapText="1"/>
    </xf>
    <xf numFmtId="0" fontId="4" fillId="2" borderId="25" xfId="0" applyFont="1" applyFill="1" applyBorder="1" applyAlignment="1">
      <alignment vertical="top" wrapText="1"/>
    </xf>
    <xf numFmtId="43" fontId="4" fillId="2" borderId="1" xfId="15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3" fontId="4" fillId="2" borderId="7" xfId="15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top" wrapText="1"/>
    </xf>
    <xf numFmtId="43" fontId="4" fillId="2" borderId="2" xfId="15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43" fontId="4" fillId="2" borderId="2" xfId="15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43" fontId="4" fillId="2" borderId="5" xfId="15" applyFont="1" applyFill="1" applyBorder="1" applyAlignment="1">
      <alignment/>
    </xf>
    <xf numFmtId="0" fontId="5" fillId="0" borderId="15" xfId="0" applyFont="1" applyBorder="1" applyAlignment="1">
      <alignment horizontal="justify" vertical="top" wrapText="1"/>
    </xf>
    <xf numFmtId="0" fontId="4" fillId="2" borderId="2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168" fontId="4" fillId="2" borderId="1" xfId="15" applyNumberFormat="1" applyFont="1" applyFill="1" applyBorder="1" applyAlignment="1">
      <alignment horizontal="center" vertical="top" wrapText="1"/>
    </xf>
    <xf numFmtId="168" fontId="4" fillId="2" borderId="1" xfId="15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8" fontId="4" fillId="2" borderId="1" xfId="15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43" fontId="5" fillId="0" borderId="27" xfId="15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3" fontId="5" fillId="0" borderId="28" xfId="15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43" fontId="5" fillId="0" borderId="29" xfId="15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168" fontId="5" fillId="0" borderId="1" xfId="15" applyNumberFormat="1" applyFont="1" applyBorder="1" applyAlignment="1">
      <alignment/>
    </xf>
    <xf numFmtId="0" fontId="5" fillId="0" borderId="3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168" fontId="4" fillId="2" borderId="7" xfId="15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168" fontId="4" fillId="2" borderId="8" xfId="15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4" fillId="2" borderId="11" xfId="0" applyFont="1" applyFill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168" fontId="4" fillId="2" borderId="13" xfId="15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8" fontId="5" fillId="0" borderId="6" xfId="15" applyNumberFormat="1" applyFont="1" applyBorder="1" applyAlignment="1">
      <alignment/>
    </xf>
    <xf numFmtId="0" fontId="4" fillId="2" borderId="3" xfId="0" applyFont="1" applyFill="1" applyBorder="1" applyAlignment="1">
      <alignment/>
    </xf>
    <xf numFmtId="168" fontId="4" fillId="2" borderId="3" xfId="15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43" fontId="5" fillId="0" borderId="5" xfId="15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3" fontId="5" fillId="0" borderId="6" xfId="15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43" fontId="5" fillId="0" borderId="3" xfId="15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3" fontId="5" fillId="0" borderId="6" xfId="15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43" fontId="5" fillId="0" borderId="8" xfId="15" applyFont="1" applyFill="1" applyBorder="1" applyAlignment="1">
      <alignment/>
    </xf>
    <xf numFmtId="43" fontId="5" fillId="0" borderId="4" xfId="15" applyFont="1" applyFill="1" applyBorder="1" applyAlignment="1">
      <alignment/>
    </xf>
    <xf numFmtId="43" fontId="5" fillId="0" borderId="7" xfId="15" applyFont="1" applyFill="1" applyBorder="1" applyAlignment="1">
      <alignment/>
    </xf>
    <xf numFmtId="0" fontId="20" fillId="0" borderId="0" xfId="18" applyFont="1">
      <alignment/>
      <protection/>
    </xf>
    <xf numFmtId="0" fontId="22" fillId="0" borderId="1" xfId="18" applyFont="1" applyBorder="1" applyAlignment="1">
      <alignment horizontal="center" vertical="center"/>
      <protection/>
    </xf>
    <xf numFmtId="0" fontId="21" fillId="0" borderId="0" xfId="18" applyFont="1">
      <alignment/>
      <protection/>
    </xf>
    <xf numFmtId="0" fontId="20" fillId="0" borderId="35" xfId="18" applyFont="1" applyBorder="1" applyAlignment="1">
      <alignment horizontal="center"/>
      <protection/>
    </xf>
    <xf numFmtId="0" fontId="21" fillId="0" borderId="5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8" fillId="0" borderId="12" xfId="18" applyFont="1" applyBorder="1" applyAlignment="1">
      <alignment horizontal="center" wrapText="1"/>
      <protection/>
    </xf>
    <xf numFmtId="43" fontId="20" fillId="0" borderId="35" xfId="15" applyFont="1" applyBorder="1" applyAlignment="1">
      <alignment/>
    </xf>
    <xf numFmtId="0" fontId="21" fillId="2" borderId="1" xfId="18" applyFont="1" applyFill="1" applyBorder="1" applyAlignment="1">
      <alignment horizontal="center" vertical="center"/>
      <protection/>
    </xf>
    <xf numFmtId="43" fontId="21" fillId="0" borderId="1" xfId="15" applyFont="1" applyBorder="1" applyAlignment="1">
      <alignment/>
    </xf>
    <xf numFmtId="0" fontId="20" fillId="3" borderId="28" xfId="18" applyFont="1" applyFill="1" applyBorder="1" applyAlignment="1">
      <alignment wrapText="1"/>
      <protection/>
    </xf>
    <xf numFmtId="43" fontId="21" fillId="0" borderId="5" xfId="18" applyNumberFormat="1" applyFont="1" applyBorder="1">
      <alignment/>
      <protection/>
    </xf>
    <xf numFmtId="4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3" fontId="4" fillId="0" borderId="5" xfId="15" applyFont="1" applyBorder="1" applyAlignment="1">
      <alignment horizontal="left" vertical="top"/>
    </xf>
    <xf numFmtId="43" fontId="5" fillId="0" borderId="6" xfId="15" applyFont="1" applyBorder="1" applyAlignment="1">
      <alignment horizontal="left" vertical="top"/>
    </xf>
    <xf numFmtId="43" fontId="5" fillId="0" borderId="3" xfId="15" applyFont="1" applyBorder="1" applyAlignment="1">
      <alignment horizontal="left" vertical="top"/>
    </xf>
    <xf numFmtId="43" fontId="5" fillId="0" borderId="6" xfId="0" applyNumberFormat="1" applyFont="1" applyBorder="1" applyAlignment="1">
      <alignment horizontal="left"/>
    </xf>
    <xf numFmtId="43" fontId="5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3" fontId="5" fillId="0" borderId="8" xfId="0" applyNumberFormat="1" applyFont="1" applyBorder="1" applyAlignment="1">
      <alignment horizontal="left"/>
    </xf>
    <xf numFmtId="43" fontId="5" fillId="0" borderId="4" xfId="0" applyNumberFormat="1" applyFont="1" applyBorder="1" applyAlignment="1">
      <alignment horizontal="left"/>
    </xf>
    <xf numFmtId="43" fontId="5" fillId="0" borderId="7" xfId="0" applyNumberFormat="1" applyFont="1" applyBorder="1" applyAlignment="1">
      <alignment horizontal="left"/>
    </xf>
    <xf numFmtId="43" fontId="5" fillId="0" borderId="5" xfId="15" applyFont="1" applyBorder="1" applyAlignment="1">
      <alignment horizontal="left"/>
    </xf>
    <xf numFmtId="43" fontId="5" fillId="0" borderId="6" xfId="15" applyFont="1" applyBorder="1" applyAlignment="1">
      <alignment horizontal="left"/>
    </xf>
    <xf numFmtId="43" fontId="5" fillId="0" borderId="3" xfId="15" applyFont="1" applyBorder="1" applyAlignment="1">
      <alignment horizontal="left"/>
    </xf>
    <xf numFmtId="43" fontId="20" fillId="0" borderId="0" xfId="18" applyNumberFormat="1" applyFont="1">
      <alignment/>
      <protection/>
    </xf>
    <xf numFmtId="43" fontId="20" fillId="0" borderId="35" xfId="15" applyFont="1" applyFill="1" applyBorder="1" applyAlignment="1">
      <alignment/>
    </xf>
    <xf numFmtId="0" fontId="21" fillId="0" borderId="1" xfId="18" applyFont="1" applyBorder="1" applyAlignment="1">
      <alignment horizontal="center"/>
      <protection/>
    </xf>
    <xf numFmtId="43" fontId="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7" fillId="0" borderId="0" xfId="0" applyFont="1" applyAlignment="1">
      <alignment/>
    </xf>
    <xf numFmtId="168" fontId="24" fillId="0" borderId="0" xfId="15" applyNumberFormat="1" applyFont="1" applyAlignment="1">
      <alignment/>
    </xf>
    <xf numFmtId="168" fontId="24" fillId="0" borderId="0" xfId="15" applyNumberFormat="1" applyFont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0" xfId="0" applyFont="1" applyAlignment="1">
      <alignment/>
    </xf>
    <xf numFmtId="168" fontId="24" fillId="0" borderId="0" xfId="0" applyNumberFormat="1" applyFont="1" applyBorder="1" applyAlignment="1">
      <alignment/>
    </xf>
    <xf numFmtId="0" fontId="17" fillId="0" borderId="0" xfId="0" applyFont="1" applyFill="1" applyAlignment="1">
      <alignment/>
    </xf>
    <xf numFmtId="168" fontId="23" fillId="0" borderId="0" xfId="15" applyNumberFormat="1" applyFont="1" applyFill="1" applyAlignment="1">
      <alignment horizontal="center"/>
    </xf>
    <xf numFmtId="168" fontId="15" fillId="0" borderId="0" xfId="15" applyNumberFormat="1" applyFont="1" applyFill="1" applyBorder="1" applyAlignment="1">
      <alignment horizontal="center"/>
    </xf>
    <xf numFmtId="168" fontId="24" fillId="0" borderId="0" xfId="15" applyNumberFormat="1" applyFont="1" applyFill="1" applyAlignment="1">
      <alignment horizontal="left"/>
    </xf>
    <xf numFmtId="168" fontId="24" fillId="0" borderId="0" xfId="15" applyNumberFormat="1" applyFont="1" applyFill="1" applyBorder="1" applyAlignment="1">
      <alignment/>
    </xf>
    <xf numFmtId="168" fontId="2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8" fontId="17" fillId="0" borderId="0" xfId="15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168" fontId="24" fillId="0" borderId="1" xfId="15" applyNumberFormat="1" applyFont="1" applyBorder="1" applyAlignment="1">
      <alignment horizontal="center" vertical="center" wrapText="1"/>
    </xf>
    <xf numFmtId="168" fontId="24" fillId="0" borderId="1" xfId="15" applyNumberFormat="1" applyFont="1" applyBorder="1" applyAlignment="1">
      <alignment horizontal="center" vertical="top" wrapText="1"/>
    </xf>
    <xf numFmtId="168" fontId="24" fillId="0" borderId="1" xfId="0" applyNumberFormat="1" applyFont="1" applyBorder="1" applyAlignment="1">
      <alignment horizontal="center"/>
    </xf>
    <xf numFmtId="168" fontId="24" fillId="0" borderId="1" xfId="15" applyNumberFormat="1" applyFont="1" applyBorder="1" applyAlignment="1">
      <alignment horizontal="center"/>
    </xf>
    <xf numFmtId="168" fontId="25" fillId="0" borderId="1" xfId="15" applyNumberFormat="1" applyFont="1" applyBorder="1" applyAlignment="1">
      <alignment horizontal="center" vertical="top" wrapText="1"/>
    </xf>
    <xf numFmtId="167" fontId="24" fillId="0" borderId="1" xfId="15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168" fontId="25" fillId="0" borderId="0" xfId="15" applyNumberFormat="1" applyFont="1" applyAlignment="1">
      <alignment/>
    </xf>
    <xf numFmtId="0" fontId="20" fillId="0" borderId="0" xfId="18" applyFont="1" applyAlignment="1">
      <alignment/>
      <protection/>
    </xf>
    <xf numFmtId="0" fontId="18" fillId="0" borderId="12" xfId="18" applyFont="1" applyBorder="1" applyAlignment="1">
      <alignment wrapText="1"/>
      <protection/>
    </xf>
    <xf numFmtId="0" fontId="22" fillId="0" borderId="1" xfId="18" applyFont="1" applyBorder="1" applyAlignment="1">
      <alignment vertical="center"/>
      <protection/>
    </xf>
    <xf numFmtId="0" fontId="21" fillId="0" borderId="5" xfId="18" applyFont="1" applyBorder="1" applyAlignment="1">
      <alignment/>
      <protection/>
    </xf>
    <xf numFmtId="0" fontId="20" fillId="3" borderId="29" xfId="18" applyFont="1" applyFill="1" applyBorder="1" applyAlignment="1">
      <alignment/>
      <protection/>
    </xf>
    <xf numFmtId="0" fontId="20" fillId="3" borderId="28" xfId="18" applyFont="1" applyFill="1" applyBorder="1" applyAlignment="1">
      <alignment/>
      <protection/>
    </xf>
    <xf numFmtId="0" fontId="20" fillId="3" borderId="35" xfId="18" applyFont="1" applyFill="1" applyBorder="1" applyAlignment="1">
      <alignment/>
      <protection/>
    </xf>
    <xf numFmtId="0" fontId="5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3" fontId="4" fillId="0" borderId="4" xfId="15" applyFont="1" applyBorder="1" applyAlignment="1">
      <alignment vertical="top"/>
    </xf>
    <xf numFmtId="168" fontId="4" fillId="2" borderId="5" xfId="15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8" fontId="4" fillId="0" borderId="3" xfId="15" applyNumberFormat="1" applyFont="1" applyBorder="1" applyAlignment="1">
      <alignment/>
    </xf>
    <xf numFmtId="0" fontId="5" fillId="0" borderId="9" xfId="0" applyFont="1" applyBorder="1" applyAlignment="1">
      <alignment vertical="top" wrapText="1"/>
    </xf>
    <xf numFmtId="43" fontId="5" fillId="0" borderId="6" xfId="15" applyFont="1" applyFill="1" applyBorder="1" applyAlignment="1">
      <alignment horizontal="left"/>
    </xf>
    <xf numFmtId="43" fontId="5" fillId="0" borderId="3" xfId="15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3" fontId="5" fillId="0" borderId="5" xfId="15" applyFont="1" applyBorder="1" applyAlignment="1">
      <alignment vertical="top"/>
    </xf>
    <xf numFmtId="43" fontId="5" fillId="0" borderId="8" xfId="15" applyFont="1" applyBorder="1" applyAlignment="1">
      <alignment vertical="top"/>
    </xf>
    <xf numFmtId="43" fontId="5" fillId="0" borderId="7" xfId="15" applyFont="1" applyFill="1" applyBorder="1" applyAlignment="1">
      <alignment vertical="top" wrapText="1"/>
    </xf>
    <xf numFmtId="43" fontId="4" fillId="2" borderId="1" xfId="15" applyFont="1" applyFill="1" applyBorder="1" applyAlignment="1">
      <alignment horizontal="center"/>
    </xf>
    <xf numFmtId="43" fontId="5" fillId="0" borderId="0" xfId="15" applyFont="1" applyBorder="1" applyAlignment="1">
      <alignment vertical="top"/>
    </xf>
    <xf numFmtId="43" fontId="5" fillId="0" borderId="0" xfId="15" applyFont="1" applyBorder="1" applyAlignment="1">
      <alignment vertical="top" wrapText="1"/>
    </xf>
    <xf numFmtId="43" fontId="5" fillId="0" borderId="0" xfId="15" applyFont="1" applyFill="1" applyBorder="1" applyAlignment="1">
      <alignment vertical="top" wrapText="1"/>
    </xf>
    <xf numFmtId="43" fontId="4" fillId="0" borderId="13" xfId="15" applyFont="1" applyBorder="1" applyAlignment="1">
      <alignment vertical="top"/>
    </xf>
    <xf numFmtId="43" fontId="5" fillId="0" borderId="12" xfId="15" applyFont="1" applyBorder="1" applyAlignment="1">
      <alignment vertical="top"/>
    </xf>
    <xf numFmtId="43" fontId="5" fillId="0" borderId="7" xfId="15" applyFont="1" applyBorder="1" applyAlignment="1">
      <alignment horizontal="center" vertical="top"/>
    </xf>
    <xf numFmtId="0" fontId="4" fillId="2" borderId="2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3" fontId="5" fillId="0" borderId="3" xfId="15" applyFont="1" applyBorder="1" applyAlignment="1">
      <alignment horizontal="center" vertical="top"/>
    </xf>
    <xf numFmtId="43" fontId="5" fillId="0" borderId="5" xfId="15" applyFont="1" applyBorder="1" applyAlignment="1">
      <alignment horizontal="center" vertical="top"/>
    </xf>
    <xf numFmtId="43" fontId="4" fillId="0" borderId="9" xfId="15" applyFont="1" applyBorder="1" applyAlignment="1">
      <alignment vertical="top"/>
    </xf>
    <xf numFmtId="43" fontId="5" fillId="0" borderId="10" xfId="15" applyFont="1" applyBorder="1" applyAlignment="1">
      <alignment vertical="top" wrapText="1"/>
    </xf>
    <xf numFmtId="43" fontId="5" fillId="0" borderId="11" xfId="15" applyFont="1" applyBorder="1" applyAlignment="1">
      <alignment vertical="top" wrapText="1"/>
    </xf>
    <xf numFmtId="43" fontId="5" fillId="0" borderId="10" xfId="15" applyFont="1" applyFill="1" applyBorder="1" applyAlignment="1">
      <alignment vertical="top"/>
    </xf>
    <xf numFmtId="43" fontId="5" fillId="0" borderId="10" xfId="15" applyFont="1" applyBorder="1" applyAlignment="1">
      <alignment vertical="top"/>
    </xf>
    <xf numFmtId="43" fontId="5" fillId="0" borderId="10" xfId="15" applyFont="1" applyFill="1" applyBorder="1" applyAlignment="1">
      <alignment vertical="top" wrapText="1"/>
    </xf>
    <xf numFmtId="43" fontId="5" fillId="0" borderId="12" xfId="15" applyFont="1" applyBorder="1" applyAlignment="1">
      <alignment vertical="top" wrapText="1"/>
    </xf>
    <xf numFmtId="43" fontId="4" fillId="0" borderId="10" xfId="15" applyFont="1" applyBorder="1" applyAlignment="1">
      <alignment vertical="top"/>
    </xf>
    <xf numFmtId="43" fontId="4" fillId="0" borderId="9" xfId="15" applyFont="1" applyBorder="1" applyAlignment="1">
      <alignment horizontal="center" vertical="top"/>
    </xf>
    <xf numFmtId="43" fontId="5" fillId="0" borderId="10" xfId="15" applyFont="1" applyBorder="1" applyAlignment="1">
      <alignment horizontal="center" vertical="top"/>
    </xf>
    <xf numFmtId="43" fontId="5" fillId="0" borderId="9" xfId="15" applyFont="1" applyBorder="1" applyAlignment="1">
      <alignment horizontal="center" vertical="top"/>
    </xf>
    <xf numFmtId="43" fontId="4" fillId="0" borderId="13" xfId="15" applyFont="1" applyBorder="1" applyAlignment="1">
      <alignment horizontal="center" vertical="top"/>
    </xf>
    <xf numFmtId="43" fontId="5" fillId="0" borderId="0" xfId="15" applyFont="1" applyBorder="1" applyAlignment="1">
      <alignment horizontal="center" vertical="top"/>
    </xf>
    <xf numFmtId="43" fontId="4" fillId="2" borderId="26" xfId="15" applyFont="1" applyFill="1" applyBorder="1" applyAlignment="1">
      <alignment horizontal="center" vertical="top"/>
    </xf>
    <xf numFmtId="0" fontId="12" fillId="2" borderId="1" xfId="0" applyFont="1" applyFill="1" applyBorder="1" applyAlignment="1">
      <alignment/>
    </xf>
    <xf numFmtId="43" fontId="5" fillId="2" borderId="1" xfId="15" applyFont="1" applyFill="1" applyBorder="1" applyAlignment="1">
      <alignment/>
    </xf>
    <xf numFmtId="4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168" fontId="5" fillId="0" borderId="0" xfId="15" applyNumberFormat="1" applyFont="1" applyAlignment="1">
      <alignment horizontal="right" vertical="justify"/>
    </xf>
    <xf numFmtId="0" fontId="13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8" fontId="5" fillId="0" borderId="5" xfId="15" applyNumberFormat="1" applyFont="1" applyFill="1" applyBorder="1" applyAlignment="1">
      <alignment horizontal="center"/>
    </xf>
    <xf numFmtId="168" fontId="5" fillId="0" borderId="3" xfId="15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3" fontId="5" fillId="0" borderId="1" xfId="15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3" fontId="5" fillId="0" borderId="5" xfId="15" applyFont="1" applyBorder="1" applyAlignment="1">
      <alignment horizontal="center" vertical="top" wrapText="1"/>
    </xf>
    <xf numFmtId="43" fontId="5" fillId="0" borderId="6" xfId="15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43" fontId="5" fillId="0" borderId="3" xfId="15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8" fontId="5" fillId="0" borderId="5" xfId="15" applyNumberFormat="1" applyFont="1" applyBorder="1" applyAlignment="1">
      <alignment horizontal="center"/>
    </xf>
    <xf numFmtId="168" fontId="5" fillId="0" borderId="6" xfId="15" applyNumberFormat="1" applyFont="1" applyBorder="1" applyAlignment="1">
      <alignment horizontal="center"/>
    </xf>
    <xf numFmtId="168" fontId="5" fillId="0" borderId="3" xfId="15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21" fillId="2" borderId="26" xfId="18" applyFont="1" applyFill="1" applyBorder="1" applyAlignment="1">
      <alignment horizontal="center" vertical="center"/>
      <protection/>
    </xf>
    <xf numFmtId="0" fontId="21" fillId="2" borderId="30" xfId="18" applyFont="1" applyFill="1" applyBorder="1" applyAlignment="1">
      <alignment horizontal="center" vertical="center"/>
      <protection/>
    </xf>
    <xf numFmtId="0" fontId="21" fillId="2" borderId="2" xfId="18" applyFont="1" applyFill="1" applyBorder="1" applyAlignment="1">
      <alignment horizontal="center" vertical="center"/>
      <protection/>
    </xf>
    <xf numFmtId="0" fontId="18" fillId="0" borderId="0" xfId="18" applyFont="1" applyBorder="1" applyAlignment="1">
      <alignment horizontal="center" wrapText="1"/>
      <protection/>
    </xf>
    <xf numFmtId="0" fontId="20" fillId="0" borderId="29" xfId="18" applyFont="1" applyBorder="1" applyAlignment="1">
      <alignment horizontal="center" vertical="center"/>
      <protection/>
    </xf>
    <xf numFmtId="0" fontId="20" fillId="0" borderId="28" xfId="18" applyFont="1" applyBorder="1" applyAlignment="1">
      <alignment horizontal="center" vertical="center"/>
      <protection/>
    </xf>
    <xf numFmtId="0" fontId="20" fillId="0" borderId="35" xfId="18" applyFont="1" applyBorder="1" applyAlignment="1">
      <alignment horizontal="center" vertical="center"/>
      <protection/>
    </xf>
    <xf numFmtId="0" fontId="20" fillId="0" borderId="39" xfId="18" applyFont="1" applyBorder="1" applyAlignment="1">
      <alignment horizontal="center"/>
      <protection/>
    </xf>
    <xf numFmtId="0" fontId="20" fillId="0" borderId="40" xfId="18" applyFont="1" applyBorder="1" applyAlignment="1">
      <alignment horizontal="center"/>
      <protection/>
    </xf>
    <xf numFmtId="0" fontId="20" fillId="0" borderId="41" xfId="18" applyFont="1" applyBorder="1" applyAlignment="1">
      <alignment horizontal="center"/>
      <protection/>
    </xf>
    <xf numFmtId="0" fontId="20" fillId="0" borderId="42" xfId="18" applyFont="1" applyBorder="1" applyAlignment="1">
      <alignment horizontal="center"/>
      <protection/>
    </xf>
    <xf numFmtId="0" fontId="20" fillId="0" borderId="43" xfId="18" applyFont="1" applyBorder="1" applyAlignment="1">
      <alignment horizontal="center"/>
      <protection/>
    </xf>
    <xf numFmtId="0" fontId="20" fillId="0" borderId="44" xfId="18" applyFont="1" applyBorder="1" applyAlignment="1">
      <alignment horizontal="center"/>
      <protection/>
    </xf>
    <xf numFmtId="0" fontId="21" fillId="2" borderId="1" xfId="18" applyFont="1" applyFill="1" applyBorder="1" applyAlignment="1">
      <alignment horizontal="center" vertical="center" wrapText="1"/>
      <protection/>
    </xf>
    <xf numFmtId="0" fontId="21" fillId="2" borderId="1" xfId="18" applyFont="1" applyFill="1" applyBorder="1" applyAlignment="1">
      <alignment horizontal="center" vertical="center"/>
      <protection/>
    </xf>
    <xf numFmtId="0" fontId="21" fillId="2" borderId="1" xfId="18" applyFont="1" applyFill="1" applyBorder="1" applyAlignment="1">
      <alignment vertical="center"/>
      <protection/>
    </xf>
    <xf numFmtId="0" fontId="21" fillId="2" borderId="5" xfId="18" applyFont="1" applyFill="1" applyBorder="1" applyAlignment="1">
      <alignment horizontal="center" vertical="center" wrapText="1"/>
      <protection/>
    </xf>
    <xf numFmtId="0" fontId="21" fillId="2" borderId="6" xfId="18" applyFont="1" applyFill="1" applyBorder="1" applyAlignment="1">
      <alignment horizontal="center" vertical="center" wrapText="1"/>
      <protection/>
    </xf>
    <xf numFmtId="0" fontId="21" fillId="2" borderId="3" xfId="18" applyFont="1" applyFill="1" applyBorder="1" applyAlignment="1">
      <alignment horizontal="center" vertical="center" wrapText="1"/>
      <protection/>
    </xf>
    <xf numFmtId="0" fontId="21" fillId="0" borderId="26" xfId="18" applyFont="1" applyBorder="1" applyAlignment="1">
      <alignment horizontal="center"/>
      <protection/>
    </xf>
    <xf numFmtId="0" fontId="21" fillId="0" borderId="2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33" sqref="A33"/>
    </sheetView>
  </sheetViews>
  <sheetFormatPr defaultColWidth="9.00390625" defaultRowHeight="12.75"/>
  <cols>
    <col min="1" max="1" width="22.875" style="3" customWidth="1"/>
    <col min="2" max="2" width="16.00390625" style="149" bestFit="1" customWidth="1"/>
    <col min="3" max="3" width="16.00390625" style="3" bestFit="1" customWidth="1"/>
    <col min="4" max="4" width="12.125" style="3" customWidth="1"/>
    <col min="5" max="16384" width="9.125" style="3" customWidth="1"/>
  </cols>
  <sheetData>
    <row r="2" spans="2:3" ht="12.75">
      <c r="B2" s="5">
        <v>2006</v>
      </c>
      <c r="C2" s="5">
        <v>2007</v>
      </c>
    </row>
    <row r="3" spans="1:3" ht="12.75">
      <c r="A3" s="390" t="s">
        <v>170</v>
      </c>
      <c r="B3" s="394">
        <v>31764890.45</v>
      </c>
      <c r="C3" s="391">
        <f>Dochody!C73</f>
        <v>37808141.51</v>
      </c>
    </row>
    <row r="4" spans="1:3" ht="12.75">
      <c r="A4" s="87" t="s">
        <v>120</v>
      </c>
      <c r="B4" s="395">
        <v>37512083</v>
      </c>
      <c r="C4" s="392">
        <f>Wydatki!C230</f>
        <v>39394696.33</v>
      </c>
    </row>
    <row r="5" spans="1:3" ht="12.75">
      <c r="A5" s="87" t="s">
        <v>457</v>
      </c>
      <c r="B5" s="395">
        <f>B3-B4-C10</f>
        <v>-5747192.550000001</v>
      </c>
      <c r="C5" s="392">
        <f>C3-C4</f>
        <v>-1586554.8200000003</v>
      </c>
    </row>
    <row r="6" spans="1:3" ht="12.75">
      <c r="A6" s="87" t="s">
        <v>133</v>
      </c>
      <c r="B6" s="395">
        <v>7597393.98</v>
      </c>
      <c r="C6" s="392">
        <f>Przychody!C18</f>
        <v>3656759.8200000003</v>
      </c>
    </row>
    <row r="7" spans="1:3" ht="12.75">
      <c r="A7" s="335" t="s">
        <v>458</v>
      </c>
      <c r="B7" s="396">
        <v>-1850201.43</v>
      </c>
      <c r="C7" s="393">
        <f>-Przychody!C5</f>
        <v>-2070205</v>
      </c>
    </row>
    <row r="9" spans="2:3" ht="12.75">
      <c r="B9" s="149">
        <f>B3-B4-B5</f>
        <v>0</v>
      </c>
      <c r="C9" s="149">
        <f>C3-C4-C5</f>
        <v>0</v>
      </c>
    </row>
    <row r="10" spans="2:3" ht="12.75">
      <c r="B10" s="149">
        <f>B5+B6+B7</f>
        <v>0</v>
      </c>
      <c r="C10" s="149">
        <f>C5+C6+C7</f>
        <v>0</v>
      </c>
    </row>
    <row r="12" spans="2:3" ht="12.75">
      <c r="B12" s="5">
        <v>2006</v>
      </c>
      <c r="C12" s="5">
        <v>2007</v>
      </c>
    </row>
    <row r="13" spans="1:3" ht="12.75">
      <c r="A13" s="383" t="s">
        <v>331</v>
      </c>
      <c r="B13" s="384">
        <f>B14+B15+B16</f>
        <v>13514423</v>
      </c>
      <c r="C13" s="384">
        <f>C14+C15+C16</f>
        <v>14528154</v>
      </c>
    </row>
    <row r="14" spans="1:3" ht="12.75">
      <c r="A14" s="381" t="s">
        <v>20</v>
      </c>
      <c r="B14" s="385">
        <v>7966690</v>
      </c>
      <c r="C14" s="387">
        <f>Dochody!C47</f>
        <v>8078301</v>
      </c>
    </row>
    <row r="15" spans="1:3" ht="12.75">
      <c r="A15" s="381" t="s">
        <v>172</v>
      </c>
      <c r="B15" s="385">
        <v>4973768</v>
      </c>
      <c r="C15" s="387">
        <f>Dochody!C48</f>
        <v>5773873</v>
      </c>
    </row>
    <row r="16" spans="1:3" ht="12.75">
      <c r="A16" s="382" t="s">
        <v>247</v>
      </c>
      <c r="B16" s="386">
        <v>573965</v>
      </c>
      <c r="C16" s="388">
        <f>Dochody!C49</f>
        <v>675980</v>
      </c>
    </row>
    <row r="17" ht="12.75">
      <c r="A17" s="38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4">
      <selection activeCell="A1" sqref="A1:E43"/>
    </sheetView>
  </sheetViews>
  <sheetFormatPr defaultColWidth="9.00390625" defaultRowHeight="12.75"/>
  <cols>
    <col min="1" max="1" width="4.125" style="95" customWidth="1"/>
    <col min="2" max="2" width="6.125" style="95" customWidth="1"/>
    <col min="3" max="3" width="54.125" style="68" customWidth="1"/>
    <col min="4" max="4" width="13.875" style="149" customWidth="1"/>
    <col min="5" max="16384" width="9.125" style="1" customWidth="1"/>
  </cols>
  <sheetData>
    <row r="1" spans="1:5" ht="14.25">
      <c r="A1" s="498" t="s">
        <v>163</v>
      </c>
      <c r="B1" s="498"/>
      <c r="C1" s="498"/>
      <c r="D1" s="498"/>
      <c r="E1" s="187"/>
    </row>
    <row r="2" spans="1:10" ht="27" customHeight="1">
      <c r="A2" s="496" t="s">
        <v>382</v>
      </c>
      <c r="B2" s="496"/>
      <c r="C2" s="496"/>
      <c r="D2" s="496"/>
      <c r="E2" s="263"/>
      <c r="F2" s="263"/>
      <c r="G2" s="263"/>
      <c r="H2" s="263"/>
      <c r="I2" s="263"/>
      <c r="J2" s="263"/>
    </row>
    <row r="3" spans="1:4" ht="6.75" customHeight="1">
      <c r="A3" s="124"/>
      <c r="B3" s="124"/>
      <c r="C3" s="122"/>
      <c r="D3" s="205"/>
    </row>
    <row r="4" spans="1:4" ht="14.25">
      <c r="A4" s="492" t="s">
        <v>170</v>
      </c>
      <c r="B4" s="494"/>
      <c r="C4" s="318" t="s">
        <v>94</v>
      </c>
      <c r="D4" s="274" t="s">
        <v>322</v>
      </c>
    </row>
    <row r="5" spans="1:4" ht="14.25">
      <c r="A5" s="278" t="s">
        <v>92</v>
      </c>
      <c r="B5" s="287" t="s">
        <v>118</v>
      </c>
      <c r="C5" s="287" t="s">
        <v>2</v>
      </c>
      <c r="D5" s="288" t="s">
        <v>119</v>
      </c>
    </row>
    <row r="6" spans="1:4" ht="14.25">
      <c r="A6" s="511">
        <v>921</v>
      </c>
      <c r="B6" s="125"/>
      <c r="C6" s="123" t="s">
        <v>11</v>
      </c>
      <c r="D6" s="155">
        <v>5000</v>
      </c>
    </row>
    <row r="7" spans="1:4" ht="14.25">
      <c r="A7" s="510"/>
      <c r="B7" s="126">
        <v>92195</v>
      </c>
      <c r="C7" s="112" t="s">
        <v>171</v>
      </c>
      <c r="D7" s="153">
        <v>5000</v>
      </c>
    </row>
    <row r="8" spans="1:4" ht="27.75" customHeight="1">
      <c r="A8" s="512"/>
      <c r="B8" s="127"/>
      <c r="C8" s="121" t="s">
        <v>275</v>
      </c>
      <c r="D8" s="154"/>
    </row>
    <row r="9" spans="1:4" ht="14.25">
      <c r="A9" s="289"/>
      <c r="B9" s="290"/>
      <c r="C9" s="280" t="s">
        <v>12</v>
      </c>
      <c r="D9" s="291">
        <f>D6</f>
        <v>5000</v>
      </c>
    </row>
    <row r="10" spans="1:4" ht="7.5" customHeight="1">
      <c r="A10" s="135"/>
      <c r="B10" s="135"/>
      <c r="C10" s="107"/>
      <c r="D10" s="206"/>
    </row>
    <row r="11" spans="1:4" ht="14.25">
      <c r="A11" s="492" t="s">
        <v>120</v>
      </c>
      <c r="B11" s="494"/>
      <c r="C11" s="287" t="s">
        <v>94</v>
      </c>
      <c r="D11" s="277" t="s">
        <v>322</v>
      </c>
    </row>
    <row r="12" spans="1:10" ht="14.25">
      <c r="A12" s="278" t="s">
        <v>92</v>
      </c>
      <c r="B12" s="292" t="s">
        <v>121</v>
      </c>
      <c r="C12" s="266" t="s">
        <v>2</v>
      </c>
      <c r="D12" s="288" t="s">
        <v>119</v>
      </c>
      <c r="F12" s="359"/>
      <c r="G12" s="359"/>
      <c r="H12" s="359"/>
      <c r="I12" s="359"/>
      <c r="J12" s="359"/>
    </row>
    <row r="13" spans="1:10" ht="14.25">
      <c r="A13" s="347" t="s">
        <v>316</v>
      </c>
      <c r="B13" s="350"/>
      <c r="C13" s="351" t="s">
        <v>4</v>
      </c>
      <c r="D13" s="352">
        <f>D14</f>
        <v>50000</v>
      </c>
      <c r="F13" s="359"/>
      <c r="G13" s="359"/>
      <c r="H13" s="359"/>
      <c r="I13" s="359"/>
      <c r="J13" s="359"/>
    </row>
    <row r="14" spans="1:10" ht="14.25">
      <c r="A14" s="348"/>
      <c r="B14" s="353" t="s">
        <v>380</v>
      </c>
      <c r="C14" s="188" t="s">
        <v>381</v>
      </c>
      <c r="D14" s="354">
        <v>50000</v>
      </c>
      <c r="F14" s="359"/>
      <c r="G14" s="359"/>
      <c r="H14" s="359"/>
      <c r="I14" s="359"/>
      <c r="J14" s="359"/>
    </row>
    <row r="15" spans="1:10" ht="51.75" customHeight="1">
      <c r="A15" s="348"/>
      <c r="B15" s="353"/>
      <c r="C15" s="349" t="s">
        <v>504</v>
      </c>
      <c r="D15" s="191"/>
      <c r="F15" s="360"/>
      <c r="G15" s="361"/>
      <c r="H15" s="495"/>
      <c r="I15" s="495"/>
      <c r="J15" s="359"/>
    </row>
    <row r="16" spans="1:10" ht="14.25">
      <c r="A16" s="355"/>
      <c r="B16" s="356"/>
      <c r="C16" s="357" t="s">
        <v>499</v>
      </c>
      <c r="D16" s="358"/>
      <c r="F16" s="360"/>
      <c r="G16" s="361"/>
      <c r="H16" s="495"/>
      <c r="I16" s="495"/>
      <c r="J16" s="359"/>
    </row>
    <row r="17" spans="1:10" ht="14.25">
      <c r="A17" s="510">
        <v>851</v>
      </c>
      <c r="B17" s="126"/>
      <c r="C17" s="112" t="s">
        <v>142</v>
      </c>
      <c r="D17" s="207">
        <v>8000</v>
      </c>
      <c r="F17" s="360"/>
      <c r="G17" s="361"/>
      <c r="H17" s="495"/>
      <c r="I17" s="495"/>
      <c r="J17" s="359"/>
    </row>
    <row r="18" spans="1:10" ht="14.25">
      <c r="A18" s="510"/>
      <c r="B18" s="126">
        <v>85154</v>
      </c>
      <c r="C18" s="112" t="s">
        <v>143</v>
      </c>
      <c r="D18" s="207">
        <v>8000</v>
      </c>
      <c r="F18" s="360"/>
      <c r="G18" s="361"/>
      <c r="H18" s="495"/>
      <c r="I18" s="495"/>
      <c r="J18" s="359"/>
    </row>
    <row r="19" spans="1:10" ht="38.25" customHeight="1">
      <c r="A19" s="510"/>
      <c r="B19" s="126"/>
      <c r="C19" s="294" t="s">
        <v>320</v>
      </c>
      <c r="D19" s="207">
        <v>8000</v>
      </c>
      <c r="F19" s="359"/>
      <c r="G19" s="359"/>
      <c r="H19" s="359"/>
      <c r="I19" s="359"/>
      <c r="J19" s="359"/>
    </row>
    <row r="20" spans="1:4" ht="13.5" customHeight="1">
      <c r="A20" s="103"/>
      <c r="B20" s="126"/>
      <c r="C20" s="32" t="s">
        <v>490</v>
      </c>
      <c r="D20" s="185"/>
    </row>
    <row r="21" spans="1:7" ht="14.25">
      <c r="A21" s="289"/>
      <c r="B21" s="290"/>
      <c r="C21" s="280" t="s">
        <v>12</v>
      </c>
      <c r="D21" s="291">
        <f>D13+D17</f>
        <v>58000</v>
      </c>
      <c r="G21" s="129"/>
    </row>
    <row r="23" spans="1:8" ht="14.25">
      <c r="A23" s="482" t="s">
        <v>164</v>
      </c>
      <c r="B23" s="482"/>
      <c r="C23" s="482"/>
      <c r="D23" s="482"/>
      <c r="E23" s="95"/>
      <c r="H23" s="7"/>
    </row>
    <row r="24" spans="1:8" ht="15.75">
      <c r="A24" s="497" t="s">
        <v>122</v>
      </c>
      <c r="B24" s="497"/>
      <c r="C24" s="497"/>
      <c r="D24" s="497"/>
      <c r="E24" s="497"/>
      <c r="F24" s="98"/>
      <c r="G24" s="98"/>
      <c r="H24" s="98"/>
    </row>
    <row r="25" spans="1:8" ht="6" customHeight="1">
      <c r="A25" s="98"/>
      <c r="B25" s="98"/>
      <c r="C25" s="98"/>
      <c r="D25" s="208"/>
      <c r="E25" s="98"/>
      <c r="F25" s="98"/>
      <c r="G25" s="98"/>
      <c r="H25" s="98"/>
    </row>
    <row r="26" spans="1:8" ht="15.75">
      <c r="A26" s="492" t="s">
        <v>120</v>
      </c>
      <c r="B26" s="494"/>
      <c r="C26" s="264" t="s">
        <v>94</v>
      </c>
      <c r="D26" s="274" t="s">
        <v>322</v>
      </c>
      <c r="E26" s="98"/>
      <c r="F26" s="98"/>
      <c r="G26" s="98"/>
      <c r="H26" s="98"/>
    </row>
    <row r="27" spans="1:8" ht="14.25">
      <c r="A27" s="278" t="s">
        <v>92</v>
      </c>
      <c r="B27" s="292" t="s">
        <v>121</v>
      </c>
      <c r="C27" s="448" t="s">
        <v>280</v>
      </c>
      <c r="D27" s="293">
        <f>D28+D29+D30+D31</f>
        <v>1270492</v>
      </c>
      <c r="E27" s="7"/>
      <c r="F27" s="7"/>
      <c r="G27" s="7"/>
      <c r="H27" s="7"/>
    </row>
    <row r="28" spans="1:8" ht="14.25">
      <c r="A28" s="132" t="s">
        <v>359</v>
      </c>
      <c r="B28" s="141" t="s">
        <v>360</v>
      </c>
      <c r="C28" s="129" t="s">
        <v>277</v>
      </c>
      <c r="D28" s="209">
        <v>668000</v>
      </c>
      <c r="E28" s="4"/>
      <c r="F28" s="4"/>
      <c r="G28" s="4"/>
      <c r="H28" s="4"/>
    </row>
    <row r="29" spans="1:8" ht="14.25">
      <c r="A29" s="88" t="s">
        <v>359</v>
      </c>
      <c r="B29" s="142" t="s">
        <v>360</v>
      </c>
      <c r="C29" s="129" t="s">
        <v>276</v>
      </c>
      <c r="D29" s="168">
        <v>484000</v>
      </c>
      <c r="E29" s="4"/>
      <c r="F29" s="4"/>
      <c r="G29" s="4"/>
      <c r="H29" s="4"/>
    </row>
    <row r="30" spans="1:8" ht="14.25">
      <c r="A30" s="88" t="s">
        <v>361</v>
      </c>
      <c r="B30" s="142" t="s">
        <v>362</v>
      </c>
      <c r="C30" s="129" t="s">
        <v>279</v>
      </c>
      <c r="D30" s="168">
        <v>70000</v>
      </c>
      <c r="E30" s="4"/>
      <c r="F30" s="4"/>
      <c r="G30" s="4"/>
      <c r="H30" s="4"/>
    </row>
    <row r="31" spans="1:8" ht="14.25">
      <c r="A31" s="186">
        <v>700</v>
      </c>
      <c r="B31" s="201">
        <v>70004</v>
      </c>
      <c r="C31" s="130" t="s">
        <v>278</v>
      </c>
      <c r="D31" s="210">
        <v>48492</v>
      </c>
      <c r="E31" s="4"/>
      <c r="F31" s="4"/>
      <c r="G31" s="4"/>
      <c r="H31" s="4"/>
    </row>
    <row r="32" spans="1:8" ht="14.25">
      <c r="A32" s="129"/>
      <c r="B32" s="7"/>
      <c r="C32" s="6"/>
      <c r="D32" s="164"/>
      <c r="E32" s="7"/>
      <c r="F32" s="7"/>
      <c r="G32" s="7"/>
      <c r="H32" s="7"/>
    </row>
    <row r="33" spans="2:5" ht="14.25">
      <c r="B33" s="68"/>
      <c r="D33" s="95" t="s">
        <v>165</v>
      </c>
      <c r="E33" s="95"/>
    </row>
    <row r="34" spans="2:7" ht="15.75">
      <c r="B34" s="497" t="s">
        <v>123</v>
      </c>
      <c r="C34" s="497"/>
      <c r="D34" s="497"/>
      <c r="E34" s="37"/>
      <c r="F34" s="37"/>
      <c r="G34" s="37"/>
    </row>
    <row r="35" spans="2:7" ht="4.5" customHeight="1">
      <c r="B35" s="98"/>
      <c r="C35" s="98"/>
      <c r="D35" s="208"/>
      <c r="E35" s="37"/>
      <c r="F35" s="37"/>
      <c r="G35" s="37"/>
    </row>
    <row r="36" spans="1:7" ht="14.25">
      <c r="A36" s="492" t="s">
        <v>120</v>
      </c>
      <c r="B36" s="494"/>
      <c r="C36" s="264" t="s">
        <v>94</v>
      </c>
      <c r="D36" s="274" t="s">
        <v>322</v>
      </c>
      <c r="E36" s="7"/>
      <c r="F36" s="7"/>
      <c r="G36" s="7"/>
    </row>
    <row r="37" spans="1:7" ht="14.25">
      <c r="A37" s="278" t="s">
        <v>92</v>
      </c>
      <c r="B37" s="292" t="s">
        <v>121</v>
      </c>
      <c r="C37" s="315" t="s">
        <v>281</v>
      </c>
      <c r="D37" s="281">
        <f>D38+D39</f>
        <v>1050000</v>
      </c>
      <c r="E37" s="7"/>
      <c r="F37" s="7"/>
      <c r="G37" s="7"/>
    </row>
    <row r="38" spans="1:7" ht="14.25">
      <c r="A38" s="132" t="s">
        <v>361</v>
      </c>
      <c r="B38" s="141" t="s">
        <v>366</v>
      </c>
      <c r="C38" s="129" t="s">
        <v>489</v>
      </c>
      <c r="D38" s="168">
        <f>Wydatki!C220</f>
        <v>560000</v>
      </c>
      <c r="E38" s="131"/>
      <c r="F38" s="7"/>
      <c r="G38" s="7"/>
    </row>
    <row r="39" spans="1:7" ht="14.25">
      <c r="A39" s="133" t="s">
        <v>361</v>
      </c>
      <c r="B39" s="143" t="s">
        <v>367</v>
      </c>
      <c r="C39" s="130" t="s">
        <v>491</v>
      </c>
      <c r="D39" s="210">
        <f>Wydatki!C218</f>
        <v>490000</v>
      </c>
      <c r="E39" s="131"/>
      <c r="F39" s="7"/>
      <c r="G39" s="7"/>
    </row>
    <row r="40" spans="2:7" ht="14.25">
      <c r="B40" s="129"/>
      <c r="C40" s="129"/>
      <c r="D40" s="211"/>
      <c r="E40" s="7"/>
      <c r="F40" s="7"/>
      <c r="G40" s="7"/>
    </row>
  </sheetData>
  <mergeCells count="15">
    <mergeCell ref="A36:B36"/>
    <mergeCell ref="B34:D34"/>
    <mergeCell ref="A26:B26"/>
    <mergeCell ref="A1:D1"/>
    <mergeCell ref="A23:D23"/>
    <mergeCell ref="A24:E24"/>
    <mergeCell ref="A17:A19"/>
    <mergeCell ref="A6:A8"/>
    <mergeCell ref="A11:B11"/>
    <mergeCell ref="A4:B4"/>
    <mergeCell ref="H18:I18"/>
    <mergeCell ref="A2:D2"/>
    <mergeCell ref="H15:I15"/>
    <mergeCell ref="H16:I16"/>
    <mergeCell ref="H17:I17"/>
  </mergeCells>
  <printOptions/>
  <pageMargins left="0.95" right="0.4" top="0.78" bottom="0.68" header="0.2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2"/>
  <sheetViews>
    <sheetView showGridLines="0" workbookViewId="0" topLeftCell="A31">
      <selection activeCell="A32" sqref="A32:E72"/>
    </sheetView>
  </sheetViews>
  <sheetFormatPr defaultColWidth="9.00390625" defaultRowHeight="12.75" customHeight="1"/>
  <cols>
    <col min="1" max="1" width="4.75390625" style="95" customWidth="1"/>
    <col min="2" max="2" width="18.375" style="3" customWidth="1"/>
    <col min="3" max="3" width="23.625" style="3" customWidth="1"/>
    <col min="4" max="4" width="14.125" style="128" customWidth="1"/>
    <col min="5" max="5" width="14.875" style="128" customWidth="1"/>
    <col min="6" max="6" width="9.125" style="7" customWidth="1"/>
    <col min="7" max="7" width="15.75390625" style="7" customWidth="1"/>
    <col min="8" max="8" width="9.125" style="7" customWidth="1"/>
    <col min="9" max="16384" width="9.125" style="1" customWidth="1"/>
  </cols>
  <sheetData>
    <row r="1" spans="5:6" ht="12.75" customHeight="1">
      <c r="E1" s="95" t="s">
        <v>166</v>
      </c>
      <c r="F1" s="95"/>
    </row>
    <row r="2" spans="1:5" ht="18" customHeight="1">
      <c r="A2" s="497" t="s">
        <v>363</v>
      </c>
      <c r="B2" s="497"/>
      <c r="C2" s="497"/>
      <c r="D2" s="497"/>
      <c r="E2" s="497"/>
    </row>
    <row r="3" spans="2:5" ht="7.5" customHeight="1">
      <c r="B3" s="2"/>
      <c r="C3" s="2"/>
      <c r="D3" s="136"/>
      <c r="E3" s="136"/>
    </row>
    <row r="4" spans="1:5" ht="12.75" customHeight="1">
      <c r="A4" s="492" t="s">
        <v>124</v>
      </c>
      <c r="B4" s="493"/>
      <c r="C4" s="493"/>
      <c r="D4" s="493"/>
      <c r="E4" s="494"/>
    </row>
    <row r="5" spans="1:5" ht="12.75" customHeight="1">
      <c r="A5" s="331" t="s">
        <v>0</v>
      </c>
      <c r="B5" s="332" t="s">
        <v>125</v>
      </c>
      <c r="C5" s="333"/>
      <c r="D5" s="334"/>
      <c r="E5" s="334" t="s">
        <v>322</v>
      </c>
    </row>
    <row r="6" spans="1:5" ht="12.75" customHeight="1">
      <c r="A6" s="531" t="s">
        <v>126</v>
      </c>
      <c r="B6" s="89" t="s">
        <v>127</v>
      </c>
      <c r="C6" s="326" t="s">
        <v>147</v>
      </c>
      <c r="D6" s="202">
        <v>70000</v>
      </c>
      <c r="E6" s="533">
        <f>D6+D7</f>
        <v>140000</v>
      </c>
    </row>
    <row r="7" spans="1:5" ht="12.75" customHeight="1">
      <c r="A7" s="532"/>
      <c r="B7" s="90"/>
      <c r="C7" s="64" t="s">
        <v>492</v>
      </c>
      <c r="D7" s="203">
        <v>70000</v>
      </c>
      <c r="E7" s="533"/>
    </row>
    <row r="8" spans="1:5" ht="12.75" customHeight="1">
      <c r="A8" s="531" t="s">
        <v>128</v>
      </c>
      <c r="B8" s="89" t="s">
        <v>129</v>
      </c>
      <c r="C8" s="326" t="s">
        <v>282</v>
      </c>
      <c r="D8" s="202">
        <f>700+200000+4700</f>
        <v>205400</v>
      </c>
      <c r="E8" s="533">
        <f>D8+D9</f>
        <v>873400</v>
      </c>
    </row>
    <row r="9" spans="1:7" ht="12.75" customHeight="1">
      <c r="A9" s="534"/>
      <c r="B9" s="335"/>
      <c r="C9" s="327" t="s">
        <v>493</v>
      </c>
      <c r="D9" s="204">
        <v>668000</v>
      </c>
      <c r="E9" s="533"/>
      <c r="G9" s="380">
        <f>D7+D9+D11+D13</f>
        <v>1270492</v>
      </c>
    </row>
    <row r="10" spans="1:5" ht="12.75" customHeight="1">
      <c r="A10" s="531" t="s">
        <v>130</v>
      </c>
      <c r="B10" s="89" t="s">
        <v>131</v>
      </c>
      <c r="C10" s="326" t="s">
        <v>282</v>
      </c>
      <c r="D10" s="202">
        <f>160000+17000</f>
        <v>177000</v>
      </c>
      <c r="E10" s="533">
        <f>D10+D11</f>
        <v>661000</v>
      </c>
    </row>
    <row r="11" spans="1:5" ht="12.75" customHeight="1">
      <c r="A11" s="534"/>
      <c r="B11" s="335"/>
      <c r="C11" s="327" t="s">
        <v>493</v>
      </c>
      <c r="D11" s="204">
        <v>484000</v>
      </c>
      <c r="E11" s="533"/>
    </row>
    <row r="12" spans="1:5" ht="12.75" customHeight="1">
      <c r="A12" s="532">
        <v>4</v>
      </c>
      <c r="B12" s="89" t="s">
        <v>423</v>
      </c>
      <c r="C12" s="326" t="s">
        <v>147</v>
      </c>
      <c r="D12" s="202">
        <f>2119592-48492</f>
        <v>2071100</v>
      </c>
      <c r="E12" s="533">
        <f>D12+D13</f>
        <v>2119592</v>
      </c>
    </row>
    <row r="13" spans="1:5" ht="12.75" customHeight="1">
      <c r="A13" s="534"/>
      <c r="B13" s="335"/>
      <c r="C13" s="327" t="s">
        <v>492</v>
      </c>
      <c r="D13" s="204">
        <f>Dotacje!D31</f>
        <v>48492</v>
      </c>
      <c r="E13" s="533"/>
    </row>
    <row r="14" spans="1:5" ht="12.75" customHeight="1">
      <c r="A14" s="296"/>
      <c r="B14" s="328" t="s">
        <v>12</v>
      </c>
      <c r="C14" s="329"/>
      <c r="D14" s="330"/>
      <c r="E14" s="284">
        <f>E6+E8+E10+E12</f>
        <v>3793992</v>
      </c>
    </row>
    <row r="16" spans="1:5" ht="12.75" customHeight="1">
      <c r="A16" s="492" t="s">
        <v>120</v>
      </c>
      <c r="B16" s="493"/>
      <c r="C16" s="493"/>
      <c r="D16" s="493"/>
      <c r="E16" s="494"/>
    </row>
    <row r="17" spans="1:5" ht="12.75" customHeight="1">
      <c r="A17" s="295" t="s">
        <v>0</v>
      </c>
      <c r="B17" s="332" t="s">
        <v>2</v>
      </c>
      <c r="C17" s="333"/>
      <c r="D17" s="338"/>
      <c r="E17" s="298" t="s">
        <v>322</v>
      </c>
    </row>
    <row r="18" spans="1:5" ht="12.75" customHeight="1">
      <c r="A18" s="532" t="s">
        <v>126</v>
      </c>
      <c r="B18" s="89" t="s">
        <v>127</v>
      </c>
      <c r="C18" s="326" t="s">
        <v>283</v>
      </c>
      <c r="D18" s="202">
        <f>D19+D20</f>
        <v>140000</v>
      </c>
      <c r="E18" s="535">
        <f>E6</f>
        <v>140000</v>
      </c>
    </row>
    <row r="19" spans="1:5" ht="12.75" customHeight="1">
      <c r="A19" s="532"/>
      <c r="B19" s="339"/>
      <c r="C19" s="64" t="s">
        <v>293</v>
      </c>
      <c r="D19" s="203">
        <v>64800</v>
      </c>
      <c r="E19" s="536"/>
    </row>
    <row r="20" spans="1:5" ht="12.75" customHeight="1">
      <c r="A20" s="532"/>
      <c r="B20" s="340"/>
      <c r="C20" s="327" t="s">
        <v>284</v>
      </c>
      <c r="D20" s="204">
        <v>75200</v>
      </c>
      <c r="E20" s="536"/>
    </row>
    <row r="21" spans="1:5" ht="12.75" customHeight="1">
      <c r="A21" s="537" t="s">
        <v>128</v>
      </c>
      <c r="B21" s="89" t="s">
        <v>129</v>
      </c>
      <c r="C21" s="326" t="s">
        <v>285</v>
      </c>
      <c r="D21" s="202">
        <f>D22+D23</f>
        <v>873400</v>
      </c>
      <c r="E21" s="535">
        <f>E8</f>
        <v>873400</v>
      </c>
    </row>
    <row r="22" spans="1:5" ht="12.75" customHeight="1">
      <c r="A22" s="532"/>
      <c r="B22" s="339"/>
      <c r="C22" s="64" t="s">
        <v>286</v>
      </c>
      <c r="D22" s="203">
        <v>593500</v>
      </c>
      <c r="E22" s="536"/>
    </row>
    <row r="23" spans="1:5" ht="12.75" customHeight="1">
      <c r="A23" s="532"/>
      <c r="B23" s="340"/>
      <c r="C23" s="327" t="s">
        <v>287</v>
      </c>
      <c r="D23" s="204">
        <f>E21-D22</f>
        <v>279900</v>
      </c>
      <c r="E23" s="536"/>
    </row>
    <row r="24" spans="1:5" ht="12.75" customHeight="1">
      <c r="A24" s="537" t="s">
        <v>130</v>
      </c>
      <c r="B24" s="89" t="s">
        <v>131</v>
      </c>
      <c r="C24" s="326" t="s">
        <v>288</v>
      </c>
      <c r="D24" s="202">
        <f>D25+D26</f>
        <v>661000</v>
      </c>
      <c r="E24" s="535">
        <f>E10</f>
        <v>661000</v>
      </c>
    </row>
    <row r="25" spans="1:5" ht="12.75" customHeight="1">
      <c r="A25" s="532"/>
      <c r="B25" s="339"/>
      <c r="C25" s="64" t="s">
        <v>289</v>
      </c>
      <c r="D25" s="203">
        <v>442500</v>
      </c>
      <c r="E25" s="536"/>
    </row>
    <row r="26" spans="1:5" ht="12.75" customHeight="1">
      <c r="A26" s="532"/>
      <c r="B26" s="340"/>
      <c r="C26" s="327" t="s">
        <v>290</v>
      </c>
      <c r="D26" s="204">
        <f>E24-D25</f>
        <v>218500</v>
      </c>
      <c r="E26" s="536"/>
    </row>
    <row r="27" spans="1:5" ht="12.75" customHeight="1">
      <c r="A27" s="537" t="s">
        <v>132</v>
      </c>
      <c r="B27" s="89" t="s">
        <v>423</v>
      </c>
      <c r="C27" s="326" t="s">
        <v>288</v>
      </c>
      <c r="D27" s="202">
        <f>D28+D29</f>
        <v>2119592</v>
      </c>
      <c r="E27" s="535">
        <f>E12</f>
        <v>2119592</v>
      </c>
    </row>
    <row r="28" spans="1:5" ht="12.75" customHeight="1">
      <c r="A28" s="532"/>
      <c r="B28" s="339"/>
      <c r="C28" s="64" t="s">
        <v>291</v>
      </c>
      <c r="D28" s="203">
        <v>628300</v>
      </c>
      <c r="E28" s="536"/>
    </row>
    <row r="29" spans="1:5" ht="12.75" customHeight="1">
      <c r="A29" s="532"/>
      <c r="B29" s="340"/>
      <c r="C29" s="327" t="s">
        <v>292</v>
      </c>
      <c r="D29" s="204">
        <f>E27-D28</f>
        <v>1491292</v>
      </c>
      <c r="E29" s="538"/>
    </row>
    <row r="30" spans="1:5" ht="12.75" customHeight="1">
      <c r="A30" s="297"/>
      <c r="B30" s="328" t="s">
        <v>12</v>
      </c>
      <c r="C30" s="329"/>
      <c r="D30" s="330"/>
      <c r="E30" s="284">
        <f>E18+E21+E24+E27</f>
        <v>3793992</v>
      </c>
    </row>
    <row r="32" spans="1:5" ht="12.75" customHeight="1">
      <c r="A32" s="482" t="s">
        <v>167</v>
      </c>
      <c r="B32" s="482"/>
      <c r="C32" s="482"/>
      <c r="D32" s="482"/>
      <c r="E32" s="482"/>
    </row>
    <row r="33" spans="1:5" ht="12.75" customHeight="1">
      <c r="A33" s="497" t="s">
        <v>480</v>
      </c>
      <c r="B33" s="497"/>
      <c r="C33" s="497"/>
      <c r="D33" s="497"/>
      <c r="E33" s="497"/>
    </row>
    <row r="34" spans="1:4" ht="6" customHeight="1">
      <c r="A34" s="119"/>
      <c r="B34" s="119"/>
      <c r="C34" s="119"/>
      <c r="D34" s="137"/>
    </row>
    <row r="35" spans="1:5" ht="12.75" customHeight="1">
      <c r="A35" s="492" t="s">
        <v>170</v>
      </c>
      <c r="B35" s="493"/>
      <c r="C35" s="493"/>
      <c r="D35" s="493"/>
      <c r="E35" s="494"/>
    </row>
    <row r="36" spans="1:5" ht="12.75" customHeight="1">
      <c r="A36" s="278" t="s">
        <v>0</v>
      </c>
      <c r="B36" s="527" t="s">
        <v>2</v>
      </c>
      <c r="C36" s="528"/>
      <c r="D36" s="529"/>
      <c r="E36" s="302" t="s">
        <v>322</v>
      </c>
    </row>
    <row r="37" spans="1:5" ht="12.75" customHeight="1">
      <c r="A37" s="91" t="s">
        <v>126</v>
      </c>
      <c r="B37" s="515" t="s">
        <v>304</v>
      </c>
      <c r="C37" s="515"/>
      <c r="D37" s="8" t="s">
        <v>147</v>
      </c>
      <c r="E37" s="320">
        <v>80000</v>
      </c>
    </row>
    <row r="38" spans="1:5" ht="12.75" customHeight="1">
      <c r="A38" s="91" t="s">
        <v>128</v>
      </c>
      <c r="B38" s="515" t="s">
        <v>294</v>
      </c>
      <c r="C38" s="515"/>
      <c r="D38" s="8" t="s">
        <v>147</v>
      </c>
      <c r="E38" s="320">
        <v>150000</v>
      </c>
    </row>
    <row r="39" spans="1:5" ht="12.75" customHeight="1">
      <c r="A39" s="91" t="s">
        <v>130</v>
      </c>
      <c r="B39" s="515" t="s">
        <v>295</v>
      </c>
      <c r="C39" s="515"/>
      <c r="D39" s="8" t="s">
        <v>147</v>
      </c>
      <c r="E39" s="320">
        <v>25000</v>
      </c>
    </row>
    <row r="40" spans="1:5" ht="12.75" customHeight="1">
      <c r="A40" s="91" t="s">
        <v>132</v>
      </c>
      <c r="B40" s="515" t="s">
        <v>296</v>
      </c>
      <c r="C40" s="515"/>
      <c r="D40" s="8" t="s">
        <v>147</v>
      </c>
      <c r="E40" s="320">
        <v>25000</v>
      </c>
    </row>
    <row r="41" spans="1:5" ht="12.75" customHeight="1">
      <c r="A41" s="91" t="s">
        <v>134</v>
      </c>
      <c r="B41" s="515" t="s">
        <v>297</v>
      </c>
      <c r="C41" s="515"/>
      <c r="D41" s="8" t="s">
        <v>147</v>
      </c>
      <c r="E41" s="320">
        <v>35000</v>
      </c>
    </row>
    <row r="42" spans="1:5" ht="12.75" customHeight="1">
      <c r="A42" s="91" t="s">
        <v>135</v>
      </c>
      <c r="B42" s="515" t="s">
        <v>368</v>
      </c>
      <c r="C42" s="515"/>
      <c r="D42" s="8" t="s">
        <v>147</v>
      </c>
      <c r="E42" s="320">
        <v>10000</v>
      </c>
    </row>
    <row r="43" spans="1:5" ht="12.75" customHeight="1">
      <c r="A43" s="91" t="s">
        <v>136</v>
      </c>
      <c r="B43" s="515" t="s">
        <v>303</v>
      </c>
      <c r="C43" s="515"/>
      <c r="D43" s="8" t="s">
        <v>147</v>
      </c>
      <c r="E43" s="320">
        <v>5000</v>
      </c>
    </row>
    <row r="44" spans="1:5" ht="12.75" customHeight="1">
      <c r="A44" s="91" t="s">
        <v>137</v>
      </c>
      <c r="B44" s="515" t="s">
        <v>298</v>
      </c>
      <c r="C44" s="515"/>
      <c r="D44" s="8" t="s">
        <v>147</v>
      </c>
      <c r="E44" s="320">
        <v>10000</v>
      </c>
    </row>
    <row r="45" spans="1:5" ht="12.75" customHeight="1">
      <c r="A45" s="91" t="s">
        <v>138</v>
      </c>
      <c r="B45" s="515" t="s">
        <v>299</v>
      </c>
      <c r="C45" s="515"/>
      <c r="D45" s="8" t="s">
        <v>147</v>
      </c>
      <c r="E45" s="320">
        <v>17000</v>
      </c>
    </row>
    <row r="46" spans="1:5" ht="12.75" customHeight="1">
      <c r="A46" s="91" t="s">
        <v>139</v>
      </c>
      <c r="B46" s="515" t="s">
        <v>300</v>
      </c>
      <c r="C46" s="515"/>
      <c r="D46" s="8" t="s">
        <v>147</v>
      </c>
      <c r="E46" s="320">
        <v>10000</v>
      </c>
    </row>
    <row r="47" spans="1:5" ht="12.75" customHeight="1">
      <c r="A47" s="91" t="s">
        <v>140</v>
      </c>
      <c r="B47" s="515" t="s">
        <v>301</v>
      </c>
      <c r="C47" s="515"/>
      <c r="D47" s="8" t="s">
        <v>147</v>
      </c>
      <c r="E47" s="320">
        <v>17000</v>
      </c>
    </row>
    <row r="48" spans="1:5" ht="12.75" customHeight="1">
      <c r="A48" s="91" t="s">
        <v>174</v>
      </c>
      <c r="B48" s="515" t="s">
        <v>302</v>
      </c>
      <c r="C48" s="515"/>
      <c r="D48" s="8" t="s">
        <v>147</v>
      </c>
      <c r="E48" s="320">
        <v>26000</v>
      </c>
    </row>
    <row r="49" spans="1:5" ht="12.75" customHeight="1">
      <c r="A49" s="542" t="s">
        <v>369</v>
      </c>
      <c r="B49" s="530" t="s">
        <v>370</v>
      </c>
      <c r="C49" s="530"/>
      <c r="D49" s="525" t="s">
        <v>371</v>
      </c>
      <c r="E49" s="523">
        <v>0</v>
      </c>
    </row>
    <row r="50" spans="1:5" ht="12.75" customHeight="1">
      <c r="A50" s="542"/>
      <c r="B50" s="530"/>
      <c r="C50" s="530"/>
      <c r="D50" s="526"/>
      <c r="E50" s="524"/>
    </row>
    <row r="51" spans="1:5" ht="12.75" customHeight="1">
      <c r="A51" s="336"/>
      <c r="B51" s="492" t="s">
        <v>12</v>
      </c>
      <c r="C51" s="494"/>
      <c r="D51" s="301"/>
      <c r="E51" s="299">
        <f>SUM(E37:E50)</f>
        <v>410000</v>
      </c>
    </row>
    <row r="52" spans="1:4" ht="12.75" customHeight="1">
      <c r="A52" s="106"/>
      <c r="B52" s="106"/>
      <c r="C52" s="106"/>
      <c r="D52" s="138"/>
    </row>
    <row r="53" spans="1:5" ht="12.75" customHeight="1">
      <c r="A53" s="492" t="s">
        <v>120</v>
      </c>
      <c r="B53" s="493"/>
      <c r="C53" s="493"/>
      <c r="D53" s="493"/>
      <c r="E53" s="494"/>
    </row>
    <row r="54" spans="1:5" ht="12.75" customHeight="1">
      <c r="A54" s="278" t="s">
        <v>0</v>
      </c>
      <c r="B54" s="527" t="s">
        <v>2</v>
      </c>
      <c r="C54" s="528"/>
      <c r="D54" s="529"/>
      <c r="E54" s="302" t="s">
        <v>322</v>
      </c>
    </row>
    <row r="55" spans="1:5" ht="12.75" customHeight="1">
      <c r="A55" s="177" t="s">
        <v>126</v>
      </c>
      <c r="B55" s="515" t="s">
        <v>304</v>
      </c>
      <c r="C55" s="515"/>
      <c r="D55" s="100" t="s">
        <v>146</v>
      </c>
      <c r="E55" s="320">
        <v>80000</v>
      </c>
    </row>
    <row r="56" spans="1:5" ht="12.75" customHeight="1">
      <c r="A56" s="321" t="s">
        <v>128</v>
      </c>
      <c r="B56" s="515" t="s">
        <v>294</v>
      </c>
      <c r="C56" s="515"/>
      <c r="D56" s="100" t="s">
        <v>146</v>
      </c>
      <c r="E56" s="320">
        <v>150000</v>
      </c>
    </row>
    <row r="57" spans="1:5" ht="12.75" customHeight="1">
      <c r="A57" s="321" t="s">
        <v>130</v>
      </c>
      <c r="B57" s="515" t="s">
        <v>295</v>
      </c>
      <c r="C57" s="515"/>
      <c r="D57" s="100" t="s">
        <v>146</v>
      </c>
      <c r="E57" s="320">
        <v>25000</v>
      </c>
    </row>
    <row r="58" spans="1:5" ht="12.75" customHeight="1">
      <c r="A58" s="321" t="s">
        <v>132</v>
      </c>
      <c r="B58" s="515" t="s">
        <v>296</v>
      </c>
      <c r="C58" s="515"/>
      <c r="D58" s="100" t="s">
        <v>146</v>
      </c>
      <c r="E58" s="320">
        <v>25000</v>
      </c>
    </row>
    <row r="59" spans="1:5" ht="12.75" customHeight="1">
      <c r="A59" s="321" t="s">
        <v>134</v>
      </c>
      <c r="B59" s="515" t="s">
        <v>297</v>
      </c>
      <c r="C59" s="515"/>
      <c r="D59" s="100" t="s">
        <v>146</v>
      </c>
      <c r="E59" s="320">
        <v>35000</v>
      </c>
    </row>
    <row r="60" spans="1:5" ht="12.75" customHeight="1">
      <c r="A60" s="321" t="s">
        <v>135</v>
      </c>
      <c r="B60" s="515" t="s">
        <v>368</v>
      </c>
      <c r="C60" s="515"/>
      <c r="D60" s="100" t="s">
        <v>146</v>
      </c>
      <c r="E60" s="320">
        <v>10000</v>
      </c>
    </row>
    <row r="61" spans="1:5" ht="12.75" customHeight="1">
      <c r="A61" s="321" t="s">
        <v>136</v>
      </c>
      <c r="B61" s="515" t="s">
        <v>303</v>
      </c>
      <c r="C61" s="515"/>
      <c r="D61" s="100" t="s">
        <v>146</v>
      </c>
      <c r="E61" s="320">
        <v>5000</v>
      </c>
    </row>
    <row r="62" spans="1:5" ht="12.75" customHeight="1">
      <c r="A62" s="321" t="s">
        <v>137</v>
      </c>
      <c r="B62" s="515" t="s">
        <v>298</v>
      </c>
      <c r="C62" s="515"/>
      <c r="D62" s="100" t="s">
        <v>146</v>
      </c>
      <c r="E62" s="320">
        <v>10000</v>
      </c>
    </row>
    <row r="63" spans="1:5" ht="12.75" customHeight="1">
      <c r="A63" s="321" t="s">
        <v>138</v>
      </c>
      <c r="B63" s="515" t="s">
        <v>299</v>
      </c>
      <c r="C63" s="515"/>
      <c r="D63" s="100" t="s">
        <v>146</v>
      </c>
      <c r="E63" s="320">
        <v>17000</v>
      </c>
    </row>
    <row r="64" spans="1:5" ht="12.75" customHeight="1">
      <c r="A64" s="321" t="s">
        <v>139</v>
      </c>
      <c r="B64" s="515" t="s">
        <v>300</v>
      </c>
      <c r="C64" s="515"/>
      <c r="D64" s="100" t="s">
        <v>146</v>
      </c>
      <c r="E64" s="320">
        <v>10000</v>
      </c>
    </row>
    <row r="65" spans="1:5" ht="12.75" customHeight="1">
      <c r="A65" s="321" t="s">
        <v>140</v>
      </c>
      <c r="B65" s="515" t="s">
        <v>301</v>
      </c>
      <c r="C65" s="515"/>
      <c r="D65" s="100" t="s">
        <v>146</v>
      </c>
      <c r="E65" s="320">
        <v>17000</v>
      </c>
    </row>
    <row r="66" spans="1:5" ht="12.75" customHeight="1">
      <c r="A66" s="337" t="s">
        <v>174</v>
      </c>
      <c r="B66" s="516" t="s">
        <v>302</v>
      </c>
      <c r="C66" s="516"/>
      <c r="D66" s="108" t="s">
        <v>146</v>
      </c>
      <c r="E66" s="343">
        <v>26000</v>
      </c>
    </row>
    <row r="67" spans="1:5" ht="12.75" customHeight="1">
      <c r="A67" s="539" t="s">
        <v>369</v>
      </c>
      <c r="B67" s="521" t="s">
        <v>370</v>
      </c>
      <c r="C67" s="522"/>
      <c r="D67" s="364" t="s">
        <v>437</v>
      </c>
      <c r="E67" s="365">
        <f>D68+D69+D70+D71</f>
        <v>636450</v>
      </c>
    </row>
    <row r="68" spans="1:5" ht="12.75" customHeight="1">
      <c r="A68" s="540"/>
      <c r="B68" s="517" t="s">
        <v>425</v>
      </c>
      <c r="C68" s="518"/>
      <c r="D68" s="445">
        <v>277550</v>
      </c>
      <c r="E68" s="366"/>
    </row>
    <row r="69" spans="1:5" ht="12.75" customHeight="1">
      <c r="A69" s="540"/>
      <c r="B69" s="517" t="s">
        <v>496</v>
      </c>
      <c r="C69" s="518"/>
      <c r="D69" s="445">
        <v>35900</v>
      </c>
      <c r="E69" s="366"/>
    </row>
    <row r="70" spans="1:5" ht="12.75" customHeight="1">
      <c r="A70" s="540"/>
      <c r="B70" s="517" t="s">
        <v>426</v>
      </c>
      <c r="C70" s="518"/>
      <c r="D70" s="445">
        <v>283770</v>
      </c>
      <c r="E70" s="366"/>
    </row>
    <row r="71" spans="1:5" ht="12.75" customHeight="1">
      <c r="A71" s="541"/>
      <c r="B71" s="519" t="s">
        <v>497</v>
      </c>
      <c r="C71" s="520"/>
      <c r="D71" s="446">
        <v>39230</v>
      </c>
      <c r="E71" s="367"/>
    </row>
    <row r="72" spans="1:5" ht="12.75" customHeight="1">
      <c r="A72" s="300"/>
      <c r="B72" s="513" t="s">
        <v>12</v>
      </c>
      <c r="C72" s="514"/>
      <c r="D72" s="344"/>
      <c r="E72" s="345">
        <f>SUM(E55:E71)</f>
        <v>1046450</v>
      </c>
    </row>
  </sheetData>
  <mergeCells count="61">
    <mergeCell ref="A67:A71"/>
    <mergeCell ref="B55:C55"/>
    <mergeCell ref="B56:C56"/>
    <mergeCell ref="A49:A50"/>
    <mergeCell ref="B57:C57"/>
    <mergeCell ref="B58:C58"/>
    <mergeCell ref="B60:C60"/>
    <mergeCell ref="B61:C61"/>
    <mergeCell ref="B59:C59"/>
    <mergeCell ref="B62:C62"/>
    <mergeCell ref="B38:C38"/>
    <mergeCell ref="E10:E11"/>
    <mergeCell ref="A12:A13"/>
    <mergeCell ref="E12:E13"/>
    <mergeCell ref="A18:A20"/>
    <mergeCell ref="E18:E20"/>
    <mergeCell ref="A16:E16"/>
    <mergeCell ref="A21:A23"/>
    <mergeCell ref="E21:E23"/>
    <mergeCell ref="A24:A26"/>
    <mergeCell ref="A8:A9"/>
    <mergeCell ref="E8:E9"/>
    <mergeCell ref="A10:A11"/>
    <mergeCell ref="B37:C37"/>
    <mergeCell ref="E24:E26"/>
    <mergeCell ref="A27:A29"/>
    <mergeCell ref="E27:E29"/>
    <mergeCell ref="A2:E2"/>
    <mergeCell ref="A6:A7"/>
    <mergeCell ref="E6:E7"/>
    <mergeCell ref="A4:E4"/>
    <mergeCell ref="B39:C39"/>
    <mergeCell ref="B40:C40"/>
    <mergeCell ref="B41:C41"/>
    <mergeCell ref="B42:C42"/>
    <mergeCell ref="B43:C43"/>
    <mergeCell ref="B44:C44"/>
    <mergeCell ref="A32:E32"/>
    <mergeCell ref="B54:D54"/>
    <mergeCell ref="A35:E35"/>
    <mergeCell ref="A53:E53"/>
    <mergeCell ref="A33:E33"/>
    <mergeCell ref="B49:C50"/>
    <mergeCell ref="B36:D36"/>
    <mergeCell ref="B51:C51"/>
    <mergeCell ref="B46:C46"/>
    <mergeCell ref="B47:C47"/>
    <mergeCell ref="E49:E50"/>
    <mergeCell ref="B45:C45"/>
    <mergeCell ref="B48:C48"/>
    <mergeCell ref="D49:D50"/>
    <mergeCell ref="B72:C72"/>
    <mergeCell ref="B63:C63"/>
    <mergeCell ref="B64:C64"/>
    <mergeCell ref="B65:C65"/>
    <mergeCell ref="B66:C66"/>
    <mergeCell ref="B69:C69"/>
    <mergeCell ref="B71:C71"/>
    <mergeCell ref="B67:C67"/>
    <mergeCell ref="B68:C68"/>
    <mergeCell ref="B70:C70"/>
  </mergeCells>
  <printOptions/>
  <pageMargins left="0.75" right="0.75" top="0.3" bottom="0.24" header="0.25" footer="0.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F23" sqref="F23"/>
    </sheetView>
  </sheetViews>
  <sheetFormatPr defaultColWidth="9.00390625" defaultRowHeight="12.75"/>
  <cols>
    <col min="1" max="1" width="5.00390625" style="7" customWidth="1"/>
    <col min="2" max="2" width="6.75390625" style="7" customWidth="1"/>
    <col min="3" max="3" width="53.375" style="68" customWidth="1"/>
    <col min="4" max="4" width="14.125" style="139" customWidth="1"/>
    <col min="5" max="5" width="6.625" style="7" customWidth="1"/>
    <col min="6" max="6" width="12.25390625" style="7" bestFit="1" customWidth="1"/>
    <col min="7" max="7" width="9.125" style="7" customWidth="1"/>
    <col min="8" max="16384" width="9.125" style="1" customWidth="1"/>
  </cols>
  <sheetData>
    <row r="1" spans="1:5" ht="14.25">
      <c r="A1" s="482" t="s">
        <v>168</v>
      </c>
      <c r="B1" s="482"/>
      <c r="C1" s="482"/>
      <c r="D1" s="482"/>
      <c r="E1" s="95"/>
    </row>
    <row r="2" spans="1:4" ht="15.75">
      <c r="A2" s="497"/>
      <c r="B2" s="497"/>
      <c r="C2" s="497"/>
      <c r="D2" s="497"/>
    </row>
    <row r="3" spans="1:4" ht="16.5">
      <c r="A3" s="546" t="s">
        <v>392</v>
      </c>
      <c r="B3" s="546"/>
      <c r="C3" s="546"/>
      <c r="D3" s="546"/>
    </row>
    <row r="4" spans="1:4" ht="16.5">
      <c r="A4" s="546" t="s">
        <v>393</v>
      </c>
      <c r="B4" s="546"/>
      <c r="C4" s="546"/>
      <c r="D4" s="546"/>
    </row>
    <row r="6" spans="2:4" ht="14.25">
      <c r="B6" s="303" t="s">
        <v>0</v>
      </c>
      <c r="C6" s="303" t="s">
        <v>94</v>
      </c>
      <c r="D6" s="303" t="s">
        <v>322</v>
      </c>
    </row>
    <row r="7" spans="2:4" ht="14.25">
      <c r="B7" s="304" t="s">
        <v>384</v>
      </c>
      <c r="C7" s="305" t="s">
        <v>385</v>
      </c>
      <c r="D7" s="227">
        <v>260000</v>
      </c>
    </row>
    <row r="8" spans="2:4" ht="14.25">
      <c r="B8" s="304" t="s">
        <v>386</v>
      </c>
      <c r="C8" s="305" t="s">
        <v>133</v>
      </c>
      <c r="D8" s="227">
        <f>D9</f>
        <v>50000</v>
      </c>
    </row>
    <row r="9" spans="2:4" ht="14.25">
      <c r="B9" s="306" t="s">
        <v>126</v>
      </c>
      <c r="C9" s="307" t="s">
        <v>390</v>
      </c>
      <c r="D9" s="308">
        <v>50000</v>
      </c>
    </row>
    <row r="10" spans="2:4" ht="14.25">
      <c r="B10" s="304" t="s">
        <v>387</v>
      </c>
      <c r="C10" s="305" t="s">
        <v>120</v>
      </c>
      <c r="D10" s="227">
        <f>D11+D12</f>
        <v>180000</v>
      </c>
    </row>
    <row r="11" spans="2:4" ht="14.25">
      <c r="B11" s="312" t="s">
        <v>126</v>
      </c>
      <c r="C11" s="313" t="s">
        <v>24</v>
      </c>
      <c r="D11" s="314">
        <v>0</v>
      </c>
    </row>
    <row r="12" spans="2:4" ht="14.25">
      <c r="B12" s="309" t="s">
        <v>128</v>
      </c>
      <c r="C12" s="310" t="s">
        <v>57</v>
      </c>
      <c r="D12" s="311">
        <f>D15+D14+D13</f>
        <v>180000</v>
      </c>
    </row>
    <row r="13" spans="2:4" ht="14.25">
      <c r="B13" s="309"/>
      <c r="C13" s="224" t="s">
        <v>469</v>
      </c>
      <c r="D13" s="311">
        <v>15000</v>
      </c>
    </row>
    <row r="14" spans="2:4" ht="14.25">
      <c r="B14" s="309"/>
      <c r="C14" s="32" t="s">
        <v>436</v>
      </c>
      <c r="D14" s="311">
        <v>15000</v>
      </c>
    </row>
    <row r="15" spans="2:4" ht="14.25">
      <c r="B15" s="309"/>
      <c r="C15" s="191" t="s">
        <v>391</v>
      </c>
      <c r="D15" s="311">
        <v>150000</v>
      </c>
    </row>
    <row r="16" spans="2:4" ht="14.25">
      <c r="B16" s="304" t="s">
        <v>388</v>
      </c>
      <c r="C16" s="305" t="s">
        <v>389</v>
      </c>
      <c r="D16" s="227">
        <f>D7+D8-D10</f>
        <v>130000</v>
      </c>
    </row>
    <row r="20" spans="1:4" ht="14.25">
      <c r="A20" s="482" t="s">
        <v>169</v>
      </c>
      <c r="B20" s="482"/>
      <c r="C20" s="482"/>
      <c r="D20" s="482"/>
    </row>
    <row r="21" spans="1:4" ht="15.75">
      <c r="A21" s="497" t="s">
        <v>141</v>
      </c>
      <c r="B21" s="497"/>
      <c r="C21" s="497"/>
      <c r="D21" s="497"/>
    </row>
    <row r="22" ht="14.25">
      <c r="D22" s="68"/>
    </row>
    <row r="23" spans="1:4" ht="14.25">
      <c r="A23" s="266" t="s">
        <v>92</v>
      </c>
      <c r="B23" s="316" t="s">
        <v>109</v>
      </c>
      <c r="C23" s="316" t="s">
        <v>2</v>
      </c>
      <c r="D23" s="440" t="s">
        <v>322</v>
      </c>
    </row>
    <row r="24" spans="1:4" ht="14.25">
      <c r="A24" s="437">
        <v>400</v>
      </c>
      <c r="B24" s="101"/>
      <c r="C24" s="101" t="s">
        <v>84</v>
      </c>
      <c r="D24" s="543">
        <f>Wydatki!C15</f>
        <v>277200</v>
      </c>
    </row>
    <row r="25" spans="1:4" ht="14.25">
      <c r="A25" s="177"/>
      <c r="B25" s="32">
        <v>40002</v>
      </c>
      <c r="C25" s="18" t="s">
        <v>149</v>
      </c>
      <c r="D25" s="544"/>
    </row>
    <row r="26" spans="1:4" ht="14.25">
      <c r="A26" s="177"/>
      <c r="B26" s="32"/>
      <c r="C26" s="32" t="s">
        <v>148</v>
      </c>
      <c r="D26" s="544"/>
    </row>
    <row r="27" spans="1:4" ht="14.25">
      <c r="A27" s="134"/>
      <c r="B27" s="96"/>
      <c r="C27" s="96" t="s">
        <v>494</v>
      </c>
      <c r="D27" s="545"/>
    </row>
    <row r="28" spans="1:4" ht="14.25">
      <c r="A28" s="437">
        <v>900</v>
      </c>
      <c r="B28" s="101"/>
      <c r="C28" s="101" t="s">
        <v>10</v>
      </c>
      <c r="D28" s="543">
        <f>Wydatki!C190</f>
        <v>189000</v>
      </c>
    </row>
    <row r="29" spans="1:4" ht="14.25">
      <c r="A29" s="177"/>
      <c r="B29" s="32">
        <v>90001</v>
      </c>
      <c r="C29" s="32" t="s">
        <v>150</v>
      </c>
      <c r="D29" s="544"/>
    </row>
    <row r="30" spans="1:4" ht="14.25">
      <c r="A30" s="177"/>
      <c r="B30" s="32"/>
      <c r="C30" s="32" t="s">
        <v>148</v>
      </c>
      <c r="D30" s="544"/>
    </row>
    <row r="31" spans="1:4" ht="14.25">
      <c r="A31" s="134"/>
      <c r="B31" s="96"/>
      <c r="C31" s="96" t="s">
        <v>494</v>
      </c>
      <c r="D31" s="545"/>
    </row>
    <row r="32" spans="1:4" ht="14.25">
      <c r="A32" s="444">
        <v>926</v>
      </c>
      <c r="B32" s="101"/>
      <c r="C32" s="101" t="s">
        <v>63</v>
      </c>
      <c r="D32" s="543">
        <f>Wydatki!C226</f>
        <v>45000</v>
      </c>
    </row>
    <row r="33" spans="1:4" ht="14.25">
      <c r="A33" s="75"/>
      <c r="B33" s="32">
        <v>92605</v>
      </c>
      <c r="C33" s="32" t="s">
        <v>144</v>
      </c>
      <c r="D33" s="544"/>
    </row>
    <row r="34" spans="1:4" ht="14.25">
      <c r="A34" s="75"/>
      <c r="B34" s="32"/>
      <c r="C34" s="32" t="s">
        <v>319</v>
      </c>
      <c r="D34" s="544"/>
    </row>
    <row r="35" spans="1:4" ht="14.25">
      <c r="A35" s="75"/>
      <c r="B35" s="32"/>
      <c r="C35" s="32" t="s">
        <v>321</v>
      </c>
      <c r="D35" s="544"/>
    </row>
    <row r="36" spans="1:4" ht="14.25">
      <c r="A36" s="81"/>
      <c r="B36" s="96"/>
      <c r="C36" s="96" t="s">
        <v>495</v>
      </c>
      <c r="D36" s="545"/>
    </row>
    <row r="37" spans="1:4" ht="14.25">
      <c r="A37" s="441"/>
      <c r="B37" s="442"/>
      <c r="C37" s="441" t="s">
        <v>12</v>
      </c>
      <c r="D37" s="443">
        <f>D24+D28+D32</f>
        <v>511200</v>
      </c>
    </row>
    <row r="38" spans="1:4" ht="14.25">
      <c r="A38" s="95"/>
      <c r="B38" s="95"/>
      <c r="D38" s="149"/>
    </row>
  </sheetData>
  <mergeCells count="9">
    <mergeCell ref="D28:D31"/>
    <mergeCell ref="D32:D36"/>
    <mergeCell ref="A1:D1"/>
    <mergeCell ref="A20:D20"/>
    <mergeCell ref="A2:D2"/>
    <mergeCell ref="A3:D3"/>
    <mergeCell ref="A4:D4"/>
    <mergeCell ref="A21:D21"/>
    <mergeCell ref="D24:D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zoomScale="110" zoomScaleNormal="110" workbookViewId="0" topLeftCell="A1">
      <selection activeCell="F32" sqref="F32"/>
    </sheetView>
  </sheetViews>
  <sheetFormatPr defaultColWidth="9.00390625" defaultRowHeight="12.75"/>
  <cols>
    <col min="1" max="1" width="5.625" style="95" customWidth="1"/>
    <col min="2" max="2" width="24.375" style="423" customWidth="1"/>
    <col min="3" max="13" width="9.00390625" style="7" customWidth="1"/>
    <col min="14" max="16384" width="9.125" style="7" customWidth="1"/>
  </cols>
  <sheetData>
    <row r="1" spans="7:10" ht="13.5">
      <c r="G1" s="482" t="s">
        <v>424</v>
      </c>
      <c r="H1" s="482"/>
      <c r="I1" s="482"/>
      <c r="J1" s="482"/>
    </row>
    <row r="2" spans="1:9" ht="15.75">
      <c r="A2" s="547" t="s">
        <v>394</v>
      </c>
      <c r="B2" s="547"/>
      <c r="C2" s="547"/>
      <c r="D2" s="547"/>
      <c r="E2" s="547"/>
      <c r="F2" s="547"/>
      <c r="G2" s="547"/>
      <c r="H2" s="547"/>
      <c r="I2" s="547"/>
    </row>
    <row r="3" spans="1:13" ht="12.75">
      <c r="A3" s="555" t="s">
        <v>395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</row>
    <row r="4" spans="1:13" ht="12.75">
      <c r="A4" s="548" t="s">
        <v>0</v>
      </c>
      <c r="B4" s="549" t="s">
        <v>94</v>
      </c>
      <c r="C4" s="550" t="s">
        <v>396</v>
      </c>
      <c r="D4" s="552" t="s">
        <v>397</v>
      </c>
      <c r="E4" s="553"/>
      <c r="F4" s="553"/>
      <c r="G4" s="553"/>
      <c r="H4" s="553"/>
      <c r="I4" s="553"/>
      <c r="J4" s="553"/>
      <c r="K4" s="553"/>
      <c r="L4" s="553"/>
      <c r="M4" s="554"/>
    </row>
    <row r="5" spans="1:13" ht="27" customHeight="1">
      <c r="A5" s="548"/>
      <c r="B5" s="549"/>
      <c r="C5" s="551"/>
      <c r="D5" s="416">
        <v>2007</v>
      </c>
      <c r="E5" s="416">
        <v>2008</v>
      </c>
      <c r="F5" s="416">
        <v>2009</v>
      </c>
      <c r="G5" s="416">
        <v>2010</v>
      </c>
      <c r="H5" s="416">
        <v>2011</v>
      </c>
      <c r="I5" s="416">
        <v>2012</v>
      </c>
      <c r="J5" s="416">
        <v>2013</v>
      </c>
      <c r="K5" s="416">
        <v>2014</v>
      </c>
      <c r="L5" s="416">
        <v>2015</v>
      </c>
      <c r="M5" s="416">
        <v>2016</v>
      </c>
    </row>
    <row r="6" spans="1:13" s="406" customFormat="1" ht="12.75">
      <c r="A6" s="405">
        <v>1</v>
      </c>
      <c r="B6" s="405">
        <v>2</v>
      </c>
      <c r="C6" s="405">
        <v>3</v>
      </c>
      <c r="D6" s="405">
        <v>4</v>
      </c>
      <c r="E6" s="405">
        <v>5</v>
      </c>
      <c r="F6" s="405">
        <v>6</v>
      </c>
      <c r="G6" s="405">
        <v>7</v>
      </c>
      <c r="H6" s="405">
        <v>8</v>
      </c>
      <c r="I6" s="405">
        <v>9</v>
      </c>
      <c r="J6" s="405">
        <v>10</v>
      </c>
      <c r="K6" s="405">
        <v>11</v>
      </c>
      <c r="L6" s="405">
        <v>12</v>
      </c>
      <c r="M6" s="405">
        <v>13</v>
      </c>
    </row>
    <row r="7" spans="1:13" ht="24.75" customHeight="1">
      <c r="A7" s="341" t="s">
        <v>126</v>
      </c>
      <c r="B7" s="424" t="s">
        <v>474</v>
      </c>
      <c r="C7" s="417">
        <f aca="true" t="shared" si="0" ref="C7:M7">C8+C11</f>
        <v>8525995</v>
      </c>
      <c r="D7" s="417">
        <f t="shared" si="0"/>
        <v>12182754.82</v>
      </c>
      <c r="E7" s="417">
        <f t="shared" si="0"/>
        <v>10101483.82</v>
      </c>
      <c r="F7" s="417">
        <f t="shared" si="0"/>
        <v>7215776.82</v>
      </c>
      <c r="G7" s="417">
        <f t="shared" si="0"/>
        <v>4782069.82</v>
      </c>
      <c r="H7" s="417">
        <f t="shared" si="0"/>
        <v>3129901.8200000003</v>
      </c>
      <c r="I7" s="417">
        <f t="shared" si="0"/>
        <v>2376694.8200000003</v>
      </c>
      <c r="J7" s="417">
        <f t="shared" si="0"/>
        <v>1252834.8200000003</v>
      </c>
      <c r="K7" s="417">
        <f t="shared" si="0"/>
        <v>939628.8200000003</v>
      </c>
      <c r="L7" s="417">
        <f t="shared" si="0"/>
        <v>626422.8200000003</v>
      </c>
      <c r="M7" s="417">
        <f t="shared" si="0"/>
        <v>313216.8200000003</v>
      </c>
    </row>
    <row r="8" spans="1:13" ht="14.25" customHeight="1">
      <c r="A8" s="341" t="s">
        <v>398</v>
      </c>
      <c r="B8" s="425" t="s">
        <v>475</v>
      </c>
      <c r="C8" s="418">
        <f aca="true" t="shared" si="1" ref="C8:M8">C9+C10</f>
        <v>8525995</v>
      </c>
      <c r="D8" s="418">
        <f t="shared" si="1"/>
        <v>8525995</v>
      </c>
      <c r="E8" s="418">
        <f t="shared" si="1"/>
        <v>10101483.82</v>
      </c>
      <c r="F8" s="418">
        <f t="shared" si="1"/>
        <v>7215776.82</v>
      </c>
      <c r="G8" s="418">
        <f t="shared" si="1"/>
        <v>4782069.82</v>
      </c>
      <c r="H8" s="418">
        <f t="shared" si="1"/>
        <v>3129901.8200000003</v>
      </c>
      <c r="I8" s="418">
        <f t="shared" si="1"/>
        <v>2376694.8200000003</v>
      </c>
      <c r="J8" s="418">
        <f t="shared" si="1"/>
        <v>1252834.8200000003</v>
      </c>
      <c r="K8" s="418">
        <f t="shared" si="1"/>
        <v>939628.8200000003</v>
      </c>
      <c r="L8" s="418">
        <f t="shared" si="1"/>
        <v>626422.8200000003</v>
      </c>
      <c r="M8" s="418">
        <f t="shared" si="1"/>
        <v>313216.8200000003</v>
      </c>
    </row>
    <row r="9" spans="1:13" ht="14.25" customHeight="1">
      <c r="A9" s="342" t="s">
        <v>399</v>
      </c>
      <c r="B9" s="426" t="s">
        <v>400</v>
      </c>
      <c r="C9" s="418">
        <v>3818290</v>
      </c>
      <c r="D9" s="418">
        <v>3818290</v>
      </c>
      <c r="E9" s="419">
        <f>D9+D12-D16</f>
        <v>4765588.9</v>
      </c>
      <c r="F9" s="420">
        <f aca="true" t="shared" si="2" ref="F9:M10">E9-E16</f>
        <v>3928652.9000000004</v>
      </c>
      <c r="G9" s="420">
        <f t="shared" si="2"/>
        <v>3191716.9000000004</v>
      </c>
      <c r="H9" s="420">
        <f t="shared" si="2"/>
        <v>2537280.9000000004</v>
      </c>
      <c r="I9" s="420">
        <f t="shared" si="2"/>
        <v>1882844.9000000004</v>
      </c>
      <c r="J9" s="420">
        <f t="shared" si="2"/>
        <v>857754.9000000004</v>
      </c>
      <c r="K9" s="420">
        <f t="shared" si="2"/>
        <v>643318.9000000004</v>
      </c>
      <c r="L9" s="420">
        <f t="shared" si="2"/>
        <v>428882.9000000004</v>
      </c>
      <c r="M9" s="420">
        <f t="shared" si="2"/>
        <v>214446.90000000037</v>
      </c>
    </row>
    <row r="10" spans="1:13" ht="14.25" customHeight="1">
      <c r="A10" s="342" t="s">
        <v>401</v>
      </c>
      <c r="B10" s="426" t="s">
        <v>402</v>
      </c>
      <c r="C10" s="418">
        <v>4707705</v>
      </c>
      <c r="D10" s="418">
        <v>4707705</v>
      </c>
      <c r="E10" s="419">
        <f>D10+D13-D17</f>
        <v>5335894.92</v>
      </c>
      <c r="F10" s="420">
        <f t="shared" si="2"/>
        <v>3287123.92</v>
      </c>
      <c r="G10" s="420">
        <f t="shared" si="2"/>
        <v>1590352.92</v>
      </c>
      <c r="H10" s="420">
        <f t="shared" si="2"/>
        <v>592620.9199999999</v>
      </c>
      <c r="I10" s="420">
        <f t="shared" si="2"/>
        <v>493849.9199999999</v>
      </c>
      <c r="J10" s="420">
        <f t="shared" si="2"/>
        <v>395079.9199999999</v>
      </c>
      <c r="K10" s="420">
        <f t="shared" si="2"/>
        <v>296309.9199999999</v>
      </c>
      <c r="L10" s="420">
        <f t="shared" si="2"/>
        <v>197539.91999999993</v>
      </c>
      <c r="M10" s="420">
        <f t="shared" si="2"/>
        <v>98769.91999999993</v>
      </c>
    </row>
    <row r="11" spans="1:13" ht="14.25" customHeight="1">
      <c r="A11" s="341" t="s">
        <v>403</v>
      </c>
      <c r="B11" s="427" t="s">
        <v>477</v>
      </c>
      <c r="C11" s="418">
        <f aca="true" t="shared" si="3" ref="C11:M11">C12+C13</f>
        <v>0</v>
      </c>
      <c r="D11" s="418">
        <f t="shared" si="3"/>
        <v>3656759.8200000003</v>
      </c>
      <c r="E11" s="418">
        <f t="shared" si="3"/>
        <v>0</v>
      </c>
      <c r="F11" s="418">
        <f t="shared" si="3"/>
        <v>0</v>
      </c>
      <c r="G11" s="418">
        <f t="shared" si="3"/>
        <v>0</v>
      </c>
      <c r="H11" s="418">
        <f t="shared" si="3"/>
        <v>0</v>
      </c>
      <c r="I11" s="418">
        <f t="shared" si="3"/>
        <v>0</v>
      </c>
      <c r="J11" s="418">
        <f t="shared" si="3"/>
        <v>0</v>
      </c>
      <c r="K11" s="418">
        <f t="shared" si="3"/>
        <v>0</v>
      </c>
      <c r="L11" s="418">
        <f t="shared" si="3"/>
        <v>0</v>
      </c>
      <c r="M11" s="418">
        <f t="shared" si="3"/>
        <v>0</v>
      </c>
    </row>
    <row r="12" spans="1:13" ht="14.25" customHeight="1">
      <c r="A12" s="342" t="s">
        <v>404</v>
      </c>
      <c r="B12" s="426" t="s">
        <v>405</v>
      </c>
      <c r="C12" s="418"/>
      <c r="D12" s="418">
        <f>Przychody!C20</f>
        <v>1259798.9000000001</v>
      </c>
      <c r="E12" s="418"/>
      <c r="F12" s="418"/>
      <c r="G12" s="418"/>
      <c r="H12" s="418"/>
      <c r="I12" s="418"/>
      <c r="J12" s="418"/>
      <c r="K12" s="418"/>
      <c r="L12" s="418"/>
      <c r="M12" s="418"/>
    </row>
    <row r="13" spans="1:13" ht="14.25" customHeight="1">
      <c r="A13" s="342" t="s">
        <v>406</v>
      </c>
      <c r="B13" s="426" t="s">
        <v>420</v>
      </c>
      <c r="C13" s="418"/>
      <c r="D13" s="418">
        <f>Przychody!C24</f>
        <v>2396960.92</v>
      </c>
      <c r="E13" s="418"/>
      <c r="F13" s="418"/>
      <c r="G13" s="418"/>
      <c r="H13" s="418"/>
      <c r="I13" s="418"/>
      <c r="J13" s="418"/>
      <c r="K13" s="418"/>
      <c r="L13" s="418"/>
      <c r="M13" s="418"/>
    </row>
    <row r="14" spans="1:13" ht="14.25" customHeight="1">
      <c r="A14" s="341">
        <v>2</v>
      </c>
      <c r="B14" s="424" t="s">
        <v>408</v>
      </c>
      <c r="C14" s="417"/>
      <c r="D14" s="417">
        <f aca="true" t="shared" si="4" ref="D14:M14">D15+D18</f>
        <v>2501271</v>
      </c>
      <c r="E14" s="417">
        <f t="shared" si="4"/>
        <v>3305707</v>
      </c>
      <c r="F14" s="417">
        <f t="shared" si="4"/>
        <v>2853707</v>
      </c>
      <c r="G14" s="417">
        <f t="shared" si="4"/>
        <v>2072168</v>
      </c>
      <c r="H14" s="417">
        <f t="shared" si="4"/>
        <v>1173207</v>
      </c>
      <c r="I14" s="417">
        <f t="shared" si="4"/>
        <v>1543860</v>
      </c>
      <c r="J14" s="417">
        <f t="shared" si="4"/>
        <v>733206</v>
      </c>
      <c r="K14" s="417">
        <f t="shared" si="4"/>
        <v>733206</v>
      </c>
      <c r="L14" s="417">
        <f t="shared" si="4"/>
        <v>733206</v>
      </c>
      <c r="M14" s="417">
        <f t="shared" si="4"/>
        <v>733217</v>
      </c>
    </row>
    <row r="15" spans="1:13" ht="14.25" customHeight="1">
      <c r="A15" s="341" t="s">
        <v>409</v>
      </c>
      <c r="B15" s="424" t="s">
        <v>476</v>
      </c>
      <c r="C15" s="417"/>
      <c r="D15" s="417">
        <f aca="true" t="shared" si="5" ref="D15:M15">D16+D17</f>
        <v>2081271</v>
      </c>
      <c r="E15" s="417">
        <f t="shared" si="5"/>
        <v>2885707</v>
      </c>
      <c r="F15" s="417">
        <f t="shared" si="5"/>
        <v>2433707</v>
      </c>
      <c r="G15" s="417">
        <f t="shared" si="5"/>
        <v>1652168</v>
      </c>
      <c r="H15" s="417">
        <f t="shared" si="5"/>
        <v>753207</v>
      </c>
      <c r="I15" s="417">
        <f t="shared" si="5"/>
        <v>1123860</v>
      </c>
      <c r="J15" s="417">
        <f t="shared" si="5"/>
        <v>313206</v>
      </c>
      <c r="K15" s="417">
        <f t="shared" si="5"/>
        <v>313206</v>
      </c>
      <c r="L15" s="417">
        <f t="shared" si="5"/>
        <v>313206</v>
      </c>
      <c r="M15" s="417">
        <f t="shared" si="5"/>
        <v>313217</v>
      </c>
    </row>
    <row r="16" spans="1:14" ht="14.25" customHeight="1">
      <c r="A16" s="342" t="s">
        <v>410</v>
      </c>
      <c r="B16" s="426" t="s">
        <v>400</v>
      </c>
      <c r="C16" s="418"/>
      <c r="D16" s="420">
        <v>312500</v>
      </c>
      <c r="E16" s="420">
        <v>836936</v>
      </c>
      <c r="F16" s="420">
        <v>736936</v>
      </c>
      <c r="G16" s="420">
        <v>654436</v>
      </c>
      <c r="H16" s="420">
        <v>654436</v>
      </c>
      <c r="I16" s="420">
        <v>1025090</v>
      </c>
      <c r="J16" s="420">
        <v>214436</v>
      </c>
      <c r="K16" s="420">
        <v>214436</v>
      </c>
      <c r="L16" s="420">
        <v>214436</v>
      </c>
      <c r="M16" s="420">
        <v>214447</v>
      </c>
      <c r="N16" s="429"/>
    </row>
    <row r="17" spans="1:14" ht="14.25" customHeight="1">
      <c r="A17" s="342" t="s">
        <v>411</v>
      </c>
      <c r="B17" s="426" t="s">
        <v>402</v>
      </c>
      <c r="C17" s="418"/>
      <c r="D17" s="420">
        <v>1768771</v>
      </c>
      <c r="E17" s="420">
        <v>2048771</v>
      </c>
      <c r="F17" s="420">
        <v>1696771</v>
      </c>
      <c r="G17" s="420">
        <v>997732</v>
      </c>
      <c r="H17" s="420">
        <v>98771</v>
      </c>
      <c r="I17" s="420">
        <v>98770</v>
      </c>
      <c r="J17" s="420">
        <v>98770</v>
      </c>
      <c r="K17" s="420">
        <v>98770</v>
      </c>
      <c r="L17" s="420">
        <v>98770</v>
      </c>
      <c r="M17" s="420">
        <v>98770</v>
      </c>
      <c r="N17" s="429"/>
    </row>
    <row r="18" spans="1:13" ht="14.25" customHeight="1">
      <c r="A18" s="341" t="s">
        <v>412</v>
      </c>
      <c r="B18" s="427" t="s">
        <v>413</v>
      </c>
      <c r="C18" s="421"/>
      <c r="D18" s="421">
        <f>Wydatki!C97</f>
        <v>420000</v>
      </c>
      <c r="E18" s="421">
        <v>420000</v>
      </c>
      <c r="F18" s="421">
        <v>420000</v>
      </c>
      <c r="G18" s="421">
        <v>420000</v>
      </c>
      <c r="H18" s="421">
        <v>420000</v>
      </c>
      <c r="I18" s="421">
        <v>420000</v>
      </c>
      <c r="J18" s="421">
        <v>420000</v>
      </c>
      <c r="K18" s="421">
        <v>420000</v>
      </c>
      <c r="L18" s="421">
        <v>420000</v>
      </c>
      <c r="M18" s="421">
        <v>420000</v>
      </c>
    </row>
    <row r="19" spans="1:13" ht="15" customHeight="1">
      <c r="A19" s="341" t="s">
        <v>130</v>
      </c>
      <c r="B19" s="424" t="s">
        <v>414</v>
      </c>
      <c r="C19" s="417"/>
      <c r="D19" s="417">
        <f>Dochody!C19</f>
        <v>37808141.51</v>
      </c>
      <c r="E19" s="417">
        <v>38000000</v>
      </c>
      <c r="F19" s="417">
        <f aca="true" t="shared" si="6" ref="F19:M20">E19+500000</f>
        <v>38500000</v>
      </c>
      <c r="G19" s="417">
        <f t="shared" si="6"/>
        <v>39000000</v>
      </c>
      <c r="H19" s="417">
        <f t="shared" si="6"/>
        <v>39500000</v>
      </c>
      <c r="I19" s="417">
        <f t="shared" si="6"/>
        <v>40000000</v>
      </c>
      <c r="J19" s="417">
        <f t="shared" si="6"/>
        <v>40500000</v>
      </c>
      <c r="K19" s="417">
        <f t="shared" si="6"/>
        <v>41000000</v>
      </c>
      <c r="L19" s="417">
        <f t="shared" si="6"/>
        <v>41500000</v>
      </c>
      <c r="M19" s="417">
        <f t="shared" si="6"/>
        <v>42000000</v>
      </c>
    </row>
    <row r="20" spans="1:13" ht="15" customHeight="1">
      <c r="A20" s="341" t="s">
        <v>132</v>
      </c>
      <c r="B20" s="424" t="s">
        <v>415</v>
      </c>
      <c r="C20" s="417"/>
      <c r="D20" s="417">
        <f>Wydatki!C230</f>
        <v>39394696.33</v>
      </c>
      <c r="E20" s="417">
        <v>38500000</v>
      </c>
      <c r="F20" s="417">
        <f t="shared" si="6"/>
        <v>39000000</v>
      </c>
      <c r="G20" s="417">
        <f t="shared" si="6"/>
        <v>39500000</v>
      </c>
      <c r="H20" s="417">
        <f t="shared" si="6"/>
        <v>40000000</v>
      </c>
      <c r="I20" s="417">
        <f t="shared" si="6"/>
        <v>40500000</v>
      </c>
      <c r="J20" s="417">
        <f t="shared" si="6"/>
        <v>41000000</v>
      </c>
      <c r="K20" s="417">
        <f t="shared" si="6"/>
        <v>41500000</v>
      </c>
      <c r="L20" s="417">
        <f t="shared" si="6"/>
        <v>42000000</v>
      </c>
      <c r="M20" s="417">
        <f t="shared" si="6"/>
        <v>42500000</v>
      </c>
    </row>
    <row r="21" spans="1:13" ht="15" customHeight="1">
      <c r="A21" s="341" t="s">
        <v>134</v>
      </c>
      <c r="B21" s="424" t="s">
        <v>416</v>
      </c>
      <c r="C21" s="417"/>
      <c r="D21" s="417">
        <f aca="true" t="shared" si="7" ref="D21:M21">D19-D20</f>
        <v>-1586554.8200000003</v>
      </c>
      <c r="E21" s="417">
        <f t="shared" si="7"/>
        <v>-500000</v>
      </c>
      <c r="F21" s="417">
        <f t="shared" si="7"/>
        <v>-500000</v>
      </c>
      <c r="G21" s="417">
        <f t="shared" si="7"/>
        <v>-500000</v>
      </c>
      <c r="H21" s="417">
        <f t="shared" si="7"/>
        <v>-500000</v>
      </c>
      <c r="I21" s="417">
        <f t="shared" si="7"/>
        <v>-500000</v>
      </c>
      <c r="J21" s="417">
        <f t="shared" si="7"/>
        <v>-500000</v>
      </c>
      <c r="K21" s="417">
        <f t="shared" si="7"/>
        <v>-500000</v>
      </c>
      <c r="L21" s="417">
        <f t="shared" si="7"/>
        <v>-500000</v>
      </c>
      <c r="M21" s="417">
        <f t="shared" si="7"/>
        <v>-500000</v>
      </c>
    </row>
    <row r="22" spans="1:13" ht="12" customHeight="1">
      <c r="A22" s="341" t="s">
        <v>135</v>
      </c>
      <c r="B22" s="424" t="s">
        <v>417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</row>
    <row r="23" spans="1:13" ht="12" customHeight="1">
      <c r="A23" s="341" t="s">
        <v>418</v>
      </c>
      <c r="B23" s="427" t="s">
        <v>478</v>
      </c>
      <c r="C23" s="418"/>
      <c r="D23" s="422">
        <f aca="true" t="shared" si="8" ref="D23:M23">(D8+D11-D15)/D19%</f>
        <v>26.717747597639057</v>
      </c>
      <c r="E23" s="422">
        <f t="shared" si="8"/>
        <v>18.988886368421053</v>
      </c>
      <c r="F23" s="422">
        <f t="shared" si="8"/>
        <v>12.420960571428573</v>
      </c>
      <c r="G23" s="422">
        <f t="shared" si="8"/>
        <v>8.025389282051282</v>
      </c>
      <c r="H23" s="422">
        <f t="shared" si="8"/>
        <v>6.016948911392406</v>
      </c>
      <c r="I23" s="422">
        <f t="shared" si="8"/>
        <v>3.132087050000001</v>
      </c>
      <c r="J23" s="422">
        <f t="shared" si="8"/>
        <v>2.320071160493828</v>
      </c>
      <c r="K23" s="422">
        <f t="shared" si="8"/>
        <v>1.5278605365853666</v>
      </c>
      <c r="L23" s="422">
        <f t="shared" si="8"/>
        <v>0.7547393253012056</v>
      </c>
      <c r="M23" s="422">
        <f t="shared" si="8"/>
        <v>-4.285714278618495E-07</v>
      </c>
    </row>
    <row r="24" spans="1:13" ht="12" customHeight="1">
      <c r="A24" s="341" t="s">
        <v>419</v>
      </c>
      <c r="B24" s="427" t="s">
        <v>479</v>
      </c>
      <c r="C24" s="418"/>
      <c r="D24" s="422">
        <f aca="true" t="shared" si="9" ref="D24:M24">(D15+D18)/D19%</f>
        <v>6.6156941338638156</v>
      </c>
      <c r="E24" s="422">
        <f t="shared" si="9"/>
        <v>8.699228947368422</v>
      </c>
      <c r="F24" s="422">
        <f t="shared" si="9"/>
        <v>7.412225974025974</v>
      </c>
      <c r="G24" s="422">
        <f t="shared" si="9"/>
        <v>5.313251282051282</v>
      </c>
      <c r="H24" s="422">
        <f t="shared" si="9"/>
        <v>2.9701443037974684</v>
      </c>
      <c r="I24" s="422">
        <f t="shared" si="9"/>
        <v>3.85965</v>
      </c>
      <c r="J24" s="422">
        <f t="shared" si="9"/>
        <v>1.810385185185185</v>
      </c>
      <c r="K24" s="422">
        <f t="shared" si="9"/>
        <v>1.7883073170731707</v>
      </c>
      <c r="L24" s="422">
        <f t="shared" si="9"/>
        <v>1.7667614457831324</v>
      </c>
      <c r="M24" s="422">
        <f t="shared" si="9"/>
        <v>1.745754761904762</v>
      </c>
    </row>
    <row r="26" spans="2:20" ht="13.5">
      <c r="B26" s="428"/>
      <c r="C26" s="408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29"/>
      <c r="O26" s="402"/>
      <c r="P26" s="402"/>
      <c r="Q26" s="402"/>
      <c r="R26" s="402"/>
      <c r="S26" s="402"/>
      <c r="T26" s="402"/>
    </row>
    <row r="27" spans="2:20" ht="13.5">
      <c r="B27" s="428"/>
      <c r="C27" s="409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29"/>
      <c r="O27" s="402"/>
      <c r="P27" s="402"/>
      <c r="Q27" s="402"/>
      <c r="R27" s="402"/>
      <c r="S27" s="402"/>
      <c r="T27" s="402"/>
    </row>
    <row r="28" spans="2:13" ht="13.5">
      <c r="B28" s="428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</row>
    <row r="29" spans="1:13" s="403" customFormat="1" ht="12.75">
      <c r="A29" s="404"/>
      <c r="B29" s="411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</row>
    <row r="30" spans="1:13" s="403" customFormat="1" ht="12.75">
      <c r="A30" s="404"/>
      <c r="B30" s="411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2:13" ht="13.5">
      <c r="B31" s="428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</row>
    <row r="32" spans="2:13" ht="13.5">
      <c r="B32" s="428"/>
      <c r="C32" s="414"/>
      <c r="D32" s="415"/>
      <c r="E32" s="415"/>
      <c r="F32" s="415"/>
      <c r="G32" s="415"/>
      <c r="H32" s="415"/>
      <c r="I32" s="415"/>
      <c r="J32" s="415"/>
      <c r="K32" s="415"/>
      <c r="L32" s="415"/>
      <c r="M32" s="415"/>
    </row>
    <row r="33" spans="2:14" ht="13.5">
      <c r="B33" s="428"/>
      <c r="C33" s="414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01"/>
    </row>
    <row r="34" spans="3:13" ht="13.5"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3:13" ht="13.5">
      <c r="C35" s="129"/>
      <c r="D35" s="407"/>
      <c r="E35" s="407"/>
      <c r="F35" s="407"/>
      <c r="G35" s="407"/>
      <c r="H35" s="407"/>
      <c r="I35" s="407"/>
      <c r="J35" s="407"/>
      <c r="K35" s="407"/>
      <c r="L35" s="407"/>
      <c r="M35" s="407"/>
    </row>
    <row r="36" spans="3:13" ht="13.5">
      <c r="C36" s="129"/>
      <c r="D36" s="407"/>
      <c r="E36" s="407"/>
      <c r="F36" s="407"/>
      <c r="G36" s="407"/>
      <c r="H36" s="407"/>
      <c r="I36" s="407"/>
      <c r="J36" s="407"/>
      <c r="K36" s="407"/>
      <c r="L36" s="407"/>
      <c r="M36" s="407"/>
    </row>
    <row r="38" spans="4:13" ht="13.5">
      <c r="D38" s="401"/>
      <c r="E38" s="401"/>
      <c r="F38" s="401"/>
      <c r="G38" s="401"/>
      <c r="H38" s="401"/>
      <c r="I38" s="401"/>
      <c r="J38" s="401"/>
      <c r="K38" s="401"/>
      <c r="L38" s="401"/>
      <c r="M38" s="401"/>
    </row>
  </sheetData>
  <mergeCells count="7">
    <mergeCell ref="G1:J1"/>
    <mergeCell ref="A2:I2"/>
    <mergeCell ref="A4:A5"/>
    <mergeCell ref="B4:B5"/>
    <mergeCell ref="C4:C5"/>
    <mergeCell ref="D4:M4"/>
    <mergeCell ref="A3:M3"/>
  </mergeCells>
  <printOptions/>
  <pageMargins left="0.97" right="0.25" top="0.54" bottom="0.3" header="0.18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3.625" style="368" bestFit="1" customWidth="1"/>
    <col min="2" max="2" width="56.375" style="430" customWidth="1"/>
    <col min="3" max="3" width="12.875" style="373" customWidth="1"/>
    <col min="4" max="8" width="11.875" style="368" customWidth="1"/>
    <col min="9" max="16384" width="10.25390625" style="368" customWidth="1"/>
  </cols>
  <sheetData>
    <row r="1" spans="6:9" ht="12.75">
      <c r="F1" s="140" t="s">
        <v>456</v>
      </c>
      <c r="G1" s="140"/>
      <c r="H1" s="140"/>
      <c r="I1" s="140"/>
    </row>
    <row r="3" spans="1:7" ht="16.5" customHeight="1">
      <c r="A3" s="559" t="s">
        <v>449</v>
      </c>
      <c r="B3" s="559"/>
      <c r="C3" s="559"/>
      <c r="D3" s="559"/>
      <c r="E3" s="559"/>
      <c r="F3" s="559"/>
      <c r="G3" s="559"/>
    </row>
    <row r="4" spans="1:7" ht="16.5" customHeight="1">
      <c r="A4" s="559"/>
      <c r="B4" s="559"/>
      <c r="C4" s="559"/>
      <c r="D4" s="559"/>
      <c r="E4" s="559"/>
      <c r="F4" s="559"/>
      <c r="G4" s="559"/>
    </row>
    <row r="5" spans="1:7" ht="16.5" customHeight="1">
      <c r="A5" s="374"/>
      <c r="B5" s="431"/>
      <c r="C5" s="374"/>
      <c r="D5" s="374"/>
      <c r="E5" s="374"/>
      <c r="F5" s="374"/>
      <c r="G5" s="374"/>
    </row>
    <row r="6" spans="1:7" ht="11.25" customHeight="1">
      <c r="A6" s="570" t="s">
        <v>0</v>
      </c>
      <c r="B6" s="571" t="s">
        <v>438</v>
      </c>
      <c r="C6" s="569" t="s">
        <v>448</v>
      </c>
      <c r="D6" s="572" t="s">
        <v>450</v>
      </c>
      <c r="E6" s="556" t="s">
        <v>439</v>
      </c>
      <c r="F6" s="557"/>
      <c r="G6" s="558"/>
    </row>
    <row r="7" spans="1:7" ht="11.25">
      <c r="A7" s="570"/>
      <c r="B7" s="571"/>
      <c r="C7" s="569"/>
      <c r="D7" s="573"/>
      <c r="E7" s="569" t="s">
        <v>440</v>
      </c>
      <c r="F7" s="569" t="s">
        <v>441</v>
      </c>
      <c r="G7" s="376" t="s">
        <v>442</v>
      </c>
    </row>
    <row r="8" spans="1:7" ht="11.25">
      <c r="A8" s="570"/>
      <c r="B8" s="571"/>
      <c r="C8" s="569"/>
      <c r="D8" s="573"/>
      <c r="E8" s="569"/>
      <c r="F8" s="569"/>
      <c r="G8" s="569" t="s">
        <v>451</v>
      </c>
    </row>
    <row r="9" spans="1:7" ht="14.25" customHeight="1">
      <c r="A9" s="570"/>
      <c r="B9" s="571"/>
      <c r="C9" s="569"/>
      <c r="D9" s="573"/>
      <c r="E9" s="569"/>
      <c r="F9" s="569"/>
      <c r="G9" s="569"/>
    </row>
    <row r="10" spans="1:7" ht="12.75" customHeight="1">
      <c r="A10" s="570"/>
      <c r="B10" s="571"/>
      <c r="C10" s="569"/>
      <c r="D10" s="573"/>
      <c r="E10" s="569"/>
      <c r="F10" s="569"/>
      <c r="G10" s="569"/>
    </row>
    <row r="11" spans="1:7" ht="48" customHeight="1">
      <c r="A11" s="570"/>
      <c r="B11" s="571"/>
      <c r="C11" s="569"/>
      <c r="D11" s="574"/>
      <c r="E11" s="569"/>
      <c r="F11" s="569"/>
      <c r="G11" s="569"/>
    </row>
    <row r="12" spans="1:7" ht="7.5" customHeight="1">
      <c r="A12" s="369">
        <v>1</v>
      </c>
      <c r="B12" s="432">
        <v>2</v>
      </c>
      <c r="C12" s="369">
        <v>4</v>
      </c>
      <c r="D12" s="369">
        <v>5</v>
      </c>
      <c r="E12" s="369">
        <v>6</v>
      </c>
      <c r="F12" s="369">
        <v>7</v>
      </c>
      <c r="G12" s="369">
        <v>8</v>
      </c>
    </row>
    <row r="13" spans="1:7" s="370" customFormat="1" ht="11.25">
      <c r="A13" s="372">
        <v>1</v>
      </c>
      <c r="B13" s="433" t="s">
        <v>444</v>
      </c>
      <c r="C13" s="372"/>
      <c r="D13" s="379">
        <f>D18+D23+D28</f>
        <v>827420.7999999999</v>
      </c>
      <c r="E13" s="379">
        <f>E18+E23+E28</f>
        <v>0</v>
      </c>
      <c r="F13" s="379">
        <f>F18+F23+F28</f>
        <v>645998</v>
      </c>
      <c r="G13" s="379">
        <f>G18+G23+G28</f>
        <v>645998</v>
      </c>
    </row>
    <row r="14" spans="1:7" ht="12" customHeight="1">
      <c r="A14" s="560" t="s">
        <v>398</v>
      </c>
      <c r="B14" s="434" t="s">
        <v>445</v>
      </c>
      <c r="C14" s="563"/>
      <c r="D14" s="564"/>
      <c r="E14" s="564"/>
      <c r="F14" s="564"/>
      <c r="G14" s="565"/>
    </row>
    <row r="15" spans="1:7" ht="12" customHeight="1">
      <c r="A15" s="561"/>
      <c r="B15" s="378" t="s">
        <v>462</v>
      </c>
      <c r="C15" s="566"/>
      <c r="D15" s="567"/>
      <c r="E15" s="567"/>
      <c r="F15" s="567"/>
      <c r="G15" s="568"/>
    </row>
    <row r="16" spans="1:7" ht="12" customHeight="1">
      <c r="A16" s="561"/>
      <c r="B16" s="435" t="s">
        <v>461</v>
      </c>
      <c r="C16" s="566"/>
      <c r="D16" s="567"/>
      <c r="E16" s="567"/>
      <c r="F16" s="567"/>
      <c r="G16" s="568"/>
    </row>
    <row r="17" spans="1:7" ht="12" customHeight="1">
      <c r="A17" s="561"/>
      <c r="B17" s="378" t="s">
        <v>446</v>
      </c>
      <c r="C17" s="566"/>
      <c r="D17" s="567"/>
      <c r="E17" s="567"/>
      <c r="F17" s="567"/>
      <c r="G17" s="568"/>
    </row>
    <row r="18" spans="1:7" ht="12" customHeight="1">
      <c r="A18" s="562"/>
      <c r="B18" s="436" t="s">
        <v>443</v>
      </c>
      <c r="C18" s="371" t="s">
        <v>447</v>
      </c>
      <c r="D18" s="398">
        <v>168800</v>
      </c>
      <c r="E18" s="375"/>
      <c r="F18" s="375">
        <f>38114+58658</f>
        <v>96772</v>
      </c>
      <c r="G18" s="375">
        <f>E18+F18</f>
        <v>96772</v>
      </c>
    </row>
    <row r="19" spans="1:7" ht="12" customHeight="1">
      <c r="A19" s="560" t="s">
        <v>403</v>
      </c>
      <c r="B19" s="434" t="s">
        <v>459</v>
      </c>
      <c r="C19" s="563"/>
      <c r="D19" s="564"/>
      <c r="E19" s="564"/>
      <c r="F19" s="564"/>
      <c r="G19" s="565"/>
    </row>
    <row r="20" spans="1:7" ht="12" customHeight="1">
      <c r="A20" s="561"/>
      <c r="B20" s="435" t="s">
        <v>463</v>
      </c>
      <c r="C20" s="566"/>
      <c r="D20" s="567"/>
      <c r="E20" s="567"/>
      <c r="F20" s="567"/>
      <c r="G20" s="568"/>
    </row>
    <row r="21" spans="1:7" ht="12" customHeight="1">
      <c r="A21" s="561"/>
      <c r="B21" s="378" t="s">
        <v>460</v>
      </c>
      <c r="C21" s="566"/>
      <c r="D21" s="567"/>
      <c r="E21" s="567"/>
      <c r="F21" s="567"/>
      <c r="G21" s="568"/>
    </row>
    <row r="22" spans="1:7" ht="12" customHeight="1">
      <c r="A22" s="561"/>
      <c r="B22" s="378" t="s">
        <v>453</v>
      </c>
      <c r="C22" s="566"/>
      <c r="D22" s="567"/>
      <c r="E22" s="567"/>
      <c r="F22" s="567"/>
      <c r="G22" s="568"/>
    </row>
    <row r="23" spans="1:7" ht="12" customHeight="1">
      <c r="A23" s="562"/>
      <c r="B23" s="436" t="s">
        <v>443</v>
      </c>
      <c r="C23" s="371" t="s">
        <v>452</v>
      </c>
      <c r="D23" s="375">
        <v>533203.6</v>
      </c>
      <c r="E23" s="375"/>
      <c r="F23" s="375">
        <f>344356+98023</f>
        <v>442379</v>
      </c>
      <c r="G23" s="375">
        <f>E23+F23</f>
        <v>442379</v>
      </c>
    </row>
    <row r="24" spans="1:7" ht="12" customHeight="1">
      <c r="A24" s="560" t="s">
        <v>407</v>
      </c>
      <c r="B24" s="434" t="s">
        <v>459</v>
      </c>
      <c r="C24" s="563"/>
      <c r="D24" s="564"/>
      <c r="E24" s="564"/>
      <c r="F24" s="564"/>
      <c r="G24" s="565"/>
    </row>
    <row r="25" spans="1:7" s="370" customFormat="1" ht="12" customHeight="1">
      <c r="A25" s="561"/>
      <c r="B25" s="435" t="s">
        <v>463</v>
      </c>
      <c r="C25" s="566"/>
      <c r="D25" s="567"/>
      <c r="E25" s="567"/>
      <c r="F25" s="567"/>
      <c r="G25" s="568"/>
    </row>
    <row r="26" spans="1:7" ht="12" customHeight="1">
      <c r="A26" s="561"/>
      <c r="B26" s="378" t="s">
        <v>460</v>
      </c>
      <c r="C26" s="566"/>
      <c r="D26" s="567"/>
      <c r="E26" s="567"/>
      <c r="F26" s="567"/>
      <c r="G26" s="568"/>
    </row>
    <row r="27" spans="1:7" ht="24" customHeight="1">
      <c r="A27" s="561"/>
      <c r="B27" s="378" t="s">
        <v>454</v>
      </c>
      <c r="C27" s="566"/>
      <c r="D27" s="567"/>
      <c r="E27" s="567"/>
      <c r="F27" s="567"/>
      <c r="G27" s="568"/>
    </row>
    <row r="28" spans="1:7" ht="12" customHeight="1">
      <c r="A28" s="562"/>
      <c r="B28" s="436" t="s">
        <v>443</v>
      </c>
      <c r="C28" s="371" t="s">
        <v>452</v>
      </c>
      <c r="D28" s="375">
        <v>125417.2</v>
      </c>
      <c r="E28" s="375"/>
      <c r="F28" s="375">
        <f>100334+6513</f>
        <v>106847</v>
      </c>
      <c r="G28" s="375">
        <f>E28+F28</f>
        <v>106847</v>
      </c>
    </row>
    <row r="29" spans="1:7" s="370" customFormat="1" ht="15" customHeight="1">
      <c r="A29" s="575" t="s">
        <v>455</v>
      </c>
      <c r="B29" s="576"/>
      <c r="C29" s="399"/>
      <c r="D29" s="377">
        <f>D18+D23+D28</f>
        <v>827420.7999999999</v>
      </c>
      <c r="E29" s="377"/>
      <c r="F29" s="377">
        <f>F18+F23+F28</f>
        <v>645998</v>
      </c>
      <c r="G29" s="377">
        <f>G18+G23+G28</f>
        <v>645998</v>
      </c>
    </row>
    <row r="31" spans="6:7" ht="11.25">
      <c r="F31" s="397"/>
      <c r="G31" s="397"/>
    </row>
    <row r="33" ht="11.25">
      <c r="F33" s="397"/>
    </row>
  </sheetData>
  <mergeCells count="16">
    <mergeCell ref="F7:F11"/>
    <mergeCell ref="A29:B29"/>
    <mergeCell ref="A14:A18"/>
    <mergeCell ref="C14:G17"/>
    <mergeCell ref="A19:A23"/>
    <mergeCell ref="C19:G22"/>
    <mergeCell ref="E6:G6"/>
    <mergeCell ref="A3:G4"/>
    <mergeCell ref="A24:A28"/>
    <mergeCell ref="C24:G27"/>
    <mergeCell ref="G8:G11"/>
    <mergeCell ref="A6:A11"/>
    <mergeCell ref="B6:B11"/>
    <mergeCell ref="C6:C11"/>
    <mergeCell ref="D6:D11"/>
    <mergeCell ref="E7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">
      <selection activeCell="H19" sqref="H19"/>
    </sheetView>
  </sheetViews>
  <sheetFormatPr defaultColWidth="9.00390625" defaultRowHeight="12.75"/>
  <cols>
    <col min="1" max="1" width="4.125" style="3" customWidth="1"/>
    <col min="2" max="2" width="6.75390625" style="3" customWidth="1"/>
    <col min="3" max="3" width="4.375" style="3" customWidth="1"/>
    <col min="4" max="4" width="43.25390625" style="3" customWidth="1"/>
    <col min="5" max="6" width="1.75390625" style="5" customWidth="1"/>
    <col min="7" max="7" width="13.00390625" style="149" customWidth="1"/>
    <col min="8" max="8" width="13.125" style="149" customWidth="1"/>
    <col min="9" max="16384" width="9.125" style="7" customWidth="1"/>
  </cols>
  <sheetData>
    <row r="1" spans="1:3" ht="12.75">
      <c r="A1" s="2" t="s">
        <v>318</v>
      </c>
      <c r="C1" s="4"/>
    </row>
    <row r="2" spans="1:3" ht="12.75">
      <c r="A2" s="3" t="s">
        <v>175</v>
      </c>
      <c r="C2" s="4"/>
    </row>
    <row r="3" spans="1:8" ht="16.5" customHeight="1">
      <c r="A3" s="8" t="s">
        <v>1</v>
      </c>
      <c r="B3" s="9" t="s">
        <v>109</v>
      </c>
      <c r="C3" s="10" t="s">
        <v>176</v>
      </c>
      <c r="D3" s="9" t="s">
        <v>2</v>
      </c>
      <c r="E3" s="12" t="s">
        <v>104</v>
      </c>
      <c r="F3" s="12" t="s">
        <v>236</v>
      </c>
      <c r="G3" s="150" t="s">
        <v>243</v>
      </c>
      <c r="H3" s="150" t="s">
        <v>322</v>
      </c>
    </row>
    <row r="4" spans="1:8" ht="12.75">
      <c r="A4" s="507" t="s">
        <v>69</v>
      </c>
      <c r="B4" s="13"/>
      <c r="C4" s="13"/>
      <c r="D4" s="14" t="s">
        <v>3</v>
      </c>
      <c r="E4" s="15">
        <f>E5</f>
        <v>17000</v>
      </c>
      <c r="F4" s="15">
        <f>F5</f>
        <v>27000</v>
      </c>
      <c r="G4" s="151">
        <f>G5</f>
        <v>45000</v>
      </c>
      <c r="H4" s="151">
        <f>H5</f>
        <v>10000</v>
      </c>
    </row>
    <row r="5" spans="1:8" ht="15">
      <c r="A5" s="508"/>
      <c r="B5" s="13" t="s">
        <v>70</v>
      </c>
      <c r="C5" s="13"/>
      <c r="D5" s="16" t="s">
        <v>26</v>
      </c>
      <c r="E5" s="17">
        <f>E6+E7</f>
        <v>17000</v>
      </c>
      <c r="F5" s="17">
        <f>F6+F7</f>
        <v>27000</v>
      </c>
      <c r="G5" s="152">
        <f>G6+G7</f>
        <v>45000</v>
      </c>
      <c r="H5" s="152">
        <f>H6+H7</f>
        <v>10000</v>
      </c>
    </row>
    <row r="6" spans="1:8" ht="12.75">
      <c r="A6" s="508"/>
      <c r="B6" s="13"/>
      <c r="C6" s="13" t="s">
        <v>177</v>
      </c>
      <c r="D6" s="18" t="s">
        <v>178</v>
      </c>
      <c r="E6" s="19">
        <v>7000</v>
      </c>
      <c r="F6" s="19">
        <v>7000</v>
      </c>
      <c r="G6" s="153">
        <v>5000</v>
      </c>
      <c r="H6" s="153">
        <v>5000</v>
      </c>
    </row>
    <row r="7" spans="1:8" ht="12.75">
      <c r="A7" s="509"/>
      <c r="B7" s="20"/>
      <c r="C7" s="20" t="s">
        <v>248</v>
      </c>
      <c r="D7" s="21" t="s">
        <v>179</v>
      </c>
      <c r="E7" s="22">
        <v>10000</v>
      </c>
      <c r="F7" s="22">
        <v>20000</v>
      </c>
      <c r="G7" s="154">
        <v>40000</v>
      </c>
      <c r="H7" s="154">
        <v>5000</v>
      </c>
    </row>
    <row r="8" spans="1:8" ht="12.75">
      <c r="A8" s="504">
        <v>630</v>
      </c>
      <c r="B8" s="23"/>
      <c r="C8" s="24"/>
      <c r="D8" s="14" t="s">
        <v>5</v>
      </c>
      <c r="E8" s="25">
        <f>E9</f>
        <v>19000</v>
      </c>
      <c r="F8" s="25">
        <f>F9</f>
        <v>20000</v>
      </c>
      <c r="G8" s="155">
        <f>G9</f>
        <v>20000</v>
      </c>
      <c r="H8" s="155">
        <f>H9</f>
        <v>20000</v>
      </c>
    </row>
    <row r="9" spans="1:8" ht="15">
      <c r="A9" s="502"/>
      <c r="B9" s="18">
        <v>63001</v>
      </c>
      <c r="C9" s="27"/>
      <c r="D9" s="16" t="s">
        <v>30</v>
      </c>
      <c r="E9" s="17">
        <f>E10+E11</f>
        <v>19000</v>
      </c>
      <c r="F9" s="17">
        <f>F10+F11</f>
        <v>20000</v>
      </c>
      <c r="G9" s="152">
        <f>G10+G11</f>
        <v>20000</v>
      </c>
      <c r="H9" s="152">
        <f>H10+H11</f>
        <v>20000</v>
      </c>
    </row>
    <row r="10" spans="1:8" ht="12.75">
      <c r="A10" s="502"/>
      <c r="B10" s="18"/>
      <c r="C10" s="27" t="s">
        <v>180</v>
      </c>
      <c r="D10" s="18" t="s">
        <v>181</v>
      </c>
      <c r="E10" s="19">
        <v>15000</v>
      </c>
      <c r="F10" s="19">
        <v>20000</v>
      </c>
      <c r="G10" s="153">
        <v>20000</v>
      </c>
      <c r="H10" s="153">
        <v>20000</v>
      </c>
    </row>
    <row r="11" spans="1:8" ht="12.75">
      <c r="A11" s="502"/>
      <c r="B11" s="18"/>
      <c r="C11" s="27" t="s">
        <v>177</v>
      </c>
      <c r="D11" s="18" t="s">
        <v>178</v>
      </c>
      <c r="E11" s="19">
        <v>4000</v>
      </c>
      <c r="F11" s="19"/>
      <c r="G11" s="153"/>
      <c r="H11" s="153"/>
    </row>
    <row r="12" spans="1:8" ht="12.75">
      <c r="A12" s="28">
        <v>600</v>
      </c>
      <c r="B12" s="23"/>
      <c r="C12" s="29"/>
      <c r="D12" s="14" t="s">
        <v>4</v>
      </c>
      <c r="E12" s="30"/>
      <c r="F12" s="30"/>
      <c r="G12" s="155">
        <f>G13</f>
        <v>0</v>
      </c>
      <c r="H12" s="155">
        <f>H13</f>
        <v>233960.17</v>
      </c>
    </row>
    <row r="13" spans="1:8" ht="12.75">
      <c r="A13" s="31"/>
      <c r="B13" s="18">
        <v>60016</v>
      </c>
      <c r="C13" s="32"/>
      <c r="D13" s="16" t="s">
        <v>29</v>
      </c>
      <c r="E13" s="19"/>
      <c r="F13" s="19"/>
      <c r="G13" s="153">
        <f>G14</f>
        <v>0</v>
      </c>
      <c r="H13" s="153">
        <f>H14</f>
        <v>233960.17</v>
      </c>
    </row>
    <row r="14" spans="1:8" ht="12.75">
      <c r="A14" s="33"/>
      <c r="B14" s="21"/>
      <c r="C14" s="34" t="s">
        <v>467</v>
      </c>
      <c r="D14" s="21" t="s">
        <v>254</v>
      </c>
      <c r="E14" s="22"/>
      <c r="F14" s="22"/>
      <c r="G14" s="154"/>
      <c r="H14" s="154">
        <v>233960.17</v>
      </c>
    </row>
    <row r="15" spans="1:8" ht="12.75">
      <c r="A15" s="500">
        <v>700</v>
      </c>
      <c r="B15" s="23"/>
      <c r="C15" s="35"/>
      <c r="D15" s="14" t="s">
        <v>6</v>
      </c>
      <c r="E15" s="25">
        <f>E16</f>
        <v>541000</v>
      </c>
      <c r="F15" s="25">
        <f>F16</f>
        <v>728240</v>
      </c>
      <c r="G15" s="155">
        <f>G16</f>
        <v>683600</v>
      </c>
      <c r="H15" s="155">
        <f>H16</f>
        <v>715510</v>
      </c>
    </row>
    <row r="16" spans="1:8" ht="15">
      <c r="A16" s="501"/>
      <c r="B16" s="18">
        <v>70005</v>
      </c>
      <c r="C16" s="36"/>
      <c r="D16" s="16" t="s">
        <v>31</v>
      </c>
      <c r="E16" s="17">
        <f>E17+E18+E19+E20</f>
        <v>541000</v>
      </c>
      <c r="F16" s="17">
        <f>F17+F18+F19+F20</f>
        <v>728240</v>
      </c>
      <c r="G16" s="152">
        <f>G17+G18+G19+G20</f>
        <v>683600</v>
      </c>
      <c r="H16" s="152">
        <f>H17+H18+H19+H20</f>
        <v>715510</v>
      </c>
    </row>
    <row r="17" spans="1:8" ht="12.75">
      <c r="A17" s="501"/>
      <c r="B17" s="18"/>
      <c r="C17" s="36" t="s">
        <v>182</v>
      </c>
      <c r="D17" s="18" t="s">
        <v>183</v>
      </c>
      <c r="E17" s="19">
        <v>55000</v>
      </c>
      <c r="F17" s="19">
        <v>50000</v>
      </c>
      <c r="G17" s="153">
        <v>30000</v>
      </c>
      <c r="H17" s="153">
        <v>40000</v>
      </c>
    </row>
    <row r="18" spans="1:8" ht="12.75">
      <c r="A18" s="501"/>
      <c r="B18" s="18"/>
      <c r="C18" s="36" t="s">
        <v>184</v>
      </c>
      <c r="D18" s="18" t="s">
        <v>308</v>
      </c>
      <c r="E18" s="19">
        <v>170000</v>
      </c>
      <c r="F18" s="19">
        <v>170000</v>
      </c>
      <c r="G18" s="153">
        <v>180590</v>
      </c>
      <c r="H18" s="153">
        <v>160000</v>
      </c>
    </row>
    <row r="19" spans="1:8" ht="25.5">
      <c r="A19" s="501"/>
      <c r="B19" s="18"/>
      <c r="C19" s="36" t="s">
        <v>185</v>
      </c>
      <c r="D19" s="18" t="s">
        <v>309</v>
      </c>
      <c r="E19" s="19">
        <v>175000</v>
      </c>
      <c r="F19" s="19">
        <f>358240+150000</f>
        <v>508240</v>
      </c>
      <c r="G19" s="153">
        <f>354010+137000-18000</f>
        <v>473010</v>
      </c>
      <c r="H19" s="153">
        <f>415510+100000</f>
        <v>515510</v>
      </c>
    </row>
    <row r="20" spans="1:8" ht="12.75">
      <c r="A20" s="33"/>
      <c r="B20" s="21"/>
      <c r="C20" s="34" t="s">
        <v>186</v>
      </c>
      <c r="D20" s="21" t="s">
        <v>254</v>
      </c>
      <c r="E20" s="22">
        <v>141000</v>
      </c>
      <c r="F20" s="22"/>
      <c r="G20" s="154"/>
      <c r="H20" s="154"/>
    </row>
    <row r="21" spans="1:8" ht="12.75">
      <c r="A21" s="26">
        <v>710</v>
      </c>
      <c r="B21" s="38"/>
      <c r="C21" s="39"/>
      <c r="D21" s="26" t="s">
        <v>32</v>
      </c>
      <c r="E21" s="15">
        <f aca="true" t="shared" si="0" ref="E21:H22">E22</f>
        <v>14000</v>
      </c>
      <c r="F21" s="15">
        <f t="shared" si="0"/>
        <v>15000</v>
      </c>
      <c r="G21" s="151">
        <f t="shared" si="0"/>
        <v>18000</v>
      </c>
      <c r="H21" s="151">
        <f t="shared" si="0"/>
        <v>18000</v>
      </c>
    </row>
    <row r="22" spans="1:8" ht="15">
      <c r="A22" s="40"/>
      <c r="B22" s="41">
        <v>71095</v>
      </c>
      <c r="C22" s="42"/>
      <c r="D22" s="16" t="s">
        <v>27</v>
      </c>
      <c r="E22" s="17">
        <f t="shared" si="0"/>
        <v>14000</v>
      </c>
      <c r="F22" s="17">
        <f t="shared" si="0"/>
        <v>15000</v>
      </c>
      <c r="G22" s="152">
        <f t="shared" si="0"/>
        <v>18000</v>
      </c>
      <c r="H22" s="152">
        <f t="shared" si="0"/>
        <v>18000</v>
      </c>
    </row>
    <row r="23" spans="1:8" ht="12.75">
      <c r="A23" s="26"/>
      <c r="B23" s="41"/>
      <c r="C23" s="13" t="s">
        <v>180</v>
      </c>
      <c r="D23" s="18" t="s">
        <v>181</v>
      </c>
      <c r="E23" s="19">
        <v>14000</v>
      </c>
      <c r="F23" s="19">
        <v>15000</v>
      </c>
      <c r="G23" s="153">
        <v>18000</v>
      </c>
      <c r="H23" s="153">
        <v>18000</v>
      </c>
    </row>
    <row r="24" spans="1:8" ht="12.75">
      <c r="A24" s="500">
        <v>750</v>
      </c>
      <c r="B24" s="23"/>
      <c r="C24" s="43"/>
      <c r="D24" s="14" t="s">
        <v>7</v>
      </c>
      <c r="E24" s="25">
        <f>E25+E28</f>
        <v>158500</v>
      </c>
      <c r="F24" s="25">
        <f>F25+F28</f>
        <v>168491</v>
      </c>
      <c r="G24" s="155">
        <f>G25+G28</f>
        <v>166379</v>
      </c>
      <c r="H24" s="155">
        <f>H25+H28</f>
        <v>167073</v>
      </c>
    </row>
    <row r="25" spans="1:8" ht="15">
      <c r="A25" s="501"/>
      <c r="B25" s="18">
        <v>75011</v>
      </c>
      <c r="C25" s="44"/>
      <c r="D25" s="16" t="s">
        <v>95</v>
      </c>
      <c r="E25" s="17">
        <f>E26+E27</f>
        <v>126500</v>
      </c>
      <c r="F25" s="17">
        <f>F26+F27</f>
        <v>131491</v>
      </c>
      <c r="G25" s="152">
        <f>G26+G27</f>
        <v>133379</v>
      </c>
      <c r="H25" s="152">
        <f>H26+H27</f>
        <v>134073</v>
      </c>
    </row>
    <row r="26" spans="1:8" ht="12.75">
      <c r="A26" s="501"/>
      <c r="B26" s="18"/>
      <c r="C26" s="44" t="s">
        <v>344</v>
      </c>
      <c r="D26" s="18"/>
      <c r="E26" s="19">
        <v>1500</v>
      </c>
      <c r="F26" s="19">
        <f>50000*5%</f>
        <v>2500</v>
      </c>
      <c r="G26" s="153">
        <f>50000*5%</f>
        <v>2500</v>
      </c>
      <c r="H26" s="153">
        <v>3000</v>
      </c>
    </row>
    <row r="27" spans="1:8" ht="12.75">
      <c r="A27" s="501"/>
      <c r="B27" s="18"/>
      <c r="C27" s="44" t="s">
        <v>187</v>
      </c>
      <c r="D27" s="18" t="s">
        <v>255</v>
      </c>
      <c r="E27" s="19">
        <v>125000</v>
      </c>
      <c r="F27" s="19">
        <v>128991</v>
      </c>
      <c r="G27" s="153">
        <v>130879</v>
      </c>
      <c r="H27" s="153">
        <v>131073</v>
      </c>
    </row>
    <row r="28" spans="1:8" ht="15">
      <c r="A28" s="501"/>
      <c r="B28" s="18">
        <v>75023</v>
      </c>
      <c r="C28" s="44"/>
      <c r="D28" s="16" t="s">
        <v>188</v>
      </c>
      <c r="E28" s="17">
        <f>E29+E30+E31</f>
        <v>32000</v>
      </c>
      <c r="F28" s="17">
        <f>F29+F30+F31</f>
        <v>37000</v>
      </c>
      <c r="G28" s="152">
        <f>G29+G30+G31</f>
        <v>33000</v>
      </c>
      <c r="H28" s="152">
        <f>H29+H30+H31</f>
        <v>33000</v>
      </c>
    </row>
    <row r="29" spans="1:8" ht="12.75">
      <c r="A29" s="501"/>
      <c r="B29" s="18"/>
      <c r="C29" s="44" t="s">
        <v>189</v>
      </c>
      <c r="D29" s="18" t="s">
        <v>256</v>
      </c>
      <c r="E29" s="45">
        <v>10000</v>
      </c>
      <c r="F29" s="45">
        <v>12000</v>
      </c>
      <c r="G29" s="156">
        <v>18000</v>
      </c>
      <c r="H29" s="156">
        <v>18000</v>
      </c>
    </row>
    <row r="30" spans="1:8" ht="12.75">
      <c r="A30" s="501"/>
      <c r="B30" s="18"/>
      <c r="C30" s="44" t="s">
        <v>180</v>
      </c>
      <c r="D30" s="18" t="s">
        <v>181</v>
      </c>
      <c r="E30" s="45">
        <v>10000</v>
      </c>
      <c r="F30" s="45">
        <v>18000</v>
      </c>
      <c r="G30" s="156">
        <v>10000</v>
      </c>
      <c r="H30" s="156"/>
    </row>
    <row r="31" spans="1:8" ht="12.75">
      <c r="A31" s="33"/>
      <c r="B31" s="21"/>
      <c r="C31" s="46" t="s">
        <v>177</v>
      </c>
      <c r="D31" s="21" t="s">
        <v>178</v>
      </c>
      <c r="E31" s="47">
        <v>12000</v>
      </c>
      <c r="F31" s="47">
        <v>7000</v>
      </c>
      <c r="G31" s="157">
        <v>5000</v>
      </c>
      <c r="H31" s="157">
        <v>15000</v>
      </c>
    </row>
    <row r="32" spans="1:8" ht="12.75">
      <c r="A32" s="502">
        <v>751</v>
      </c>
      <c r="B32" s="41"/>
      <c r="C32" s="13"/>
      <c r="D32" s="38" t="s">
        <v>257</v>
      </c>
      <c r="E32" s="15">
        <f aca="true" t="shared" si="1" ref="E32:H33">E33</f>
        <v>2820</v>
      </c>
      <c r="F32" s="15">
        <f t="shared" si="1"/>
        <v>2818</v>
      </c>
      <c r="G32" s="151">
        <f t="shared" si="1"/>
        <v>2968</v>
      </c>
      <c r="H32" s="151">
        <f t="shared" si="1"/>
        <v>2866</v>
      </c>
    </row>
    <row r="33" spans="1:8" ht="15">
      <c r="A33" s="502"/>
      <c r="B33" s="41">
        <v>75101</v>
      </c>
      <c r="C33" s="13"/>
      <c r="D33" s="48" t="s">
        <v>310</v>
      </c>
      <c r="E33" s="17">
        <f t="shared" si="1"/>
        <v>2820</v>
      </c>
      <c r="F33" s="17">
        <f t="shared" si="1"/>
        <v>2818</v>
      </c>
      <c r="G33" s="152">
        <f t="shared" si="1"/>
        <v>2968</v>
      </c>
      <c r="H33" s="152">
        <f t="shared" si="1"/>
        <v>2866</v>
      </c>
    </row>
    <row r="34" spans="1:8" ht="12.75">
      <c r="A34" s="503"/>
      <c r="B34" s="41"/>
      <c r="C34" s="13" t="s">
        <v>187</v>
      </c>
      <c r="D34" s="18" t="s">
        <v>255</v>
      </c>
      <c r="E34" s="19">
        <v>2820</v>
      </c>
      <c r="F34" s="19">
        <v>2818</v>
      </c>
      <c r="G34" s="153">
        <v>2968</v>
      </c>
      <c r="H34" s="153">
        <v>2866</v>
      </c>
    </row>
    <row r="35" spans="1:8" ht="12.75">
      <c r="A35" s="500">
        <v>754</v>
      </c>
      <c r="B35" s="23"/>
      <c r="C35" s="24"/>
      <c r="D35" s="49" t="s">
        <v>108</v>
      </c>
      <c r="E35" s="50">
        <f aca="true" t="shared" si="2" ref="E35:H36">E36</f>
        <v>10000</v>
      </c>
      <c r="F35" s="50">
        <f t="shared" si="2"/>
        <v>7000</v>
      </c>
      <c r="G35" s="158">
        <f t="shared" si="2"/>
        <v>0</v>
      </c>
      <c r="H35" s="158">
        <f t="shared" si="2"/>
        <v>0</v>
      </c>
    </row>
    <row r="36" spans="1:8" ht="12.75">
      <c r="A36" s="501"/>
      <c r="B36" s="18">
        <v>75414</v>
      </c>
      <c r="C36" s="27"/>
      <c r="D36" s="51" t="s">
        <v>105</v>
      </c>
      <c r="E36" s="52">
        <f t="shared" si="2"/>
        <v>10000</v>
      </c>
      <c r="F36" s="52">
        <f t="shared" si="2"/>
        <v>7000</v>
      </c>
      <c r="G36" s="159">
        <f t="shared" si="2"/>
        <v>0</v>
      </c>
      <c r="H36" s="159">
        <f t="shared" si="2"/>
        <v>0</v>
      </c>
    </row>
    <row r="37" spans="1:8" ht="12.75">
      <c r="A37" s="501"/>
      <c r="B37" s="18"/>
      <c r="C37" s="27" t="s">
        <v>190</v>
      </c>
      <c r="D37" s="3" t="s">
        <v>311</v>
      </c>
      <c r="E37" s="45">
        <v>10000</v>
      </c>
      <c r="F37" s="45">
        <v>7000</v>
      </c>
      <c r="G37" s="156">
        <v>0</v>
      </c>
      <c r="H37" s="156">
        <v>0</v>
      </c>
    </row>
    <row r="38" spans="1:8" ht="16.5" customHeight="1">
      <c r="A38" s="28">
        <v>756</v>
      </c>
      <c r="B38" s="23"/>
      <c r="C38" s="35"/>
      <c r="D38" s="14" t="s">
        <v>258</v>
      </c>
      <c r="E38" s="53">
        <f>E39+E41+E63+E67</f>
        <v>7922000</v>
      </c>
      <c r="F38" s="50">
        <f>F39+F41+F63+F67</f>
        <v>8682867</v>
      </c>
      <c r="G38" s="158">
        <f>G39+G41+G63+G67+G52</f>
        <v>9610778</v>
      </c>
      <c r="H38" s="158">
        <f>H39+H41+H63+H67+H52</f>
        <v>10479184</v>
      </c>
    </row>
    <row r="39" spans="1:8" ht="15">
      <c r="A39" s="31"/>
      <c r="B39" s="18">
        <v>75601</v>
      </c>
      <c r="C39" s="36"/>
      <c r="D39" s="16" t="s">
        <v>191</v>
      </c>
      <c r="E39" s="54">
        <f>E40</f>
        <v>30000</v>
      </c>
      <c r="F39" s="55">
        <f>F40</f>
        <v>35000</v>
      </c>
      <c r="G39" s="160">
        <f>G40</f>
        <v>37000</v>
      </c>
      <c r="H39" s="160">
        <f>H40</f>
        <v>36000</v>
      </c>
    </row>
    <row r="40" spans="1:8" ht="12.75">
      <c r="A40" s="31"/>
      <c r="B40" s="56"/>
      <c r="C40" s="36" t="s">
        <v>192</v>
      </c>
      <c r="D40" s="18" t="s">
        <v>259</v>
      </c>
      <c r="E40" s="57">
        <v>30000</v>
      </c>
      <c r="F40" s="45">
        <v>35000</v>
      </c>
      <c r="G40" s="156">
        <v>37000</v>
      </c>
      <c r="H40" s="156">
        <v>36000</v>
      </c>
    </row>
    <row r="41" spans="1:8" ht="15">
      <c r="A41" s="31"/>
      <c r="B41" s="18">
        <v>75615</v>
      </c>
      <c r="C41" s="58"/>
      <c r="D41" s="16" t="s">
        <v>260</v>
      </c>
      <c r="E41" s="54">
        <f>E42+E43+E44+E45+E46+E47+E48+E50+E51</f>
        <v>4851000</v>
      </c>
      <c r="F41" s="55">
        <f>F42+F43+F44+F45+F46+F47+F48+F50+F51+F49</f>
        <v>5111000</v>
      </c>
      <c r="G41" s="160">
        <f>G42+G43+G44+G45+G46+G47+G48+G50+G51+G49</f>
        <v>4201000</v>
      </c>
      <c r="H41" s="160">
        <f>H42+H43+H44+H45+H46+H47+H48+H50+H51+H49</f>
        <v>4169000</v>
      </c>
    </row>
    <row r="42" spans="1:8" ht="12.75">
      <c r="A42" s="31"/>
      <c r="B42" s="56"/>
      <c r="C42" s="36" t="s">
        <v>193</v>
      </c>
      <c r="D42" s="18" t="s">
        <v>194</v>
      </c>
      <c r="E42" s="57">
        <f>3492000+500000</f>
        <v>3992000</v>
      </c>
      <c r="F42" s="45">
        <v>4200000</v>
      </c>
      <c r="G42" s="156">
        <v>3730000</v>
      </c>
      <c r="H42" s="156">
        <v>3680000</v>
      </c>
    </row>
    <row r="43" spans="1:8" ht="12.75">
      <c r="A43" s="31"/>
      <c r="B43" s="18"/>
      <c r="C43" s="36" t="s">
        <v>195</v>
      </c>
      <c r="D43" s="18" t="s">
        <v>196</v>
      </c>
      <c r="E43" s="57">
        <v>190000</v>
      </c>
      <c r="F43" s="45">
        <v>190000</v>
      </c>
      <c r="G43" s="156">
        <v>35000</v>
      </c>
      <c r="H43" s="156">
        <v>50000</v>
      </c>
    </row>
    <row r="44" spans="1:8" ht="12.75">
      <c r="A44" s="31"/>
      <c r="B44" s="18"/>
      <c r="C44" s="36" t="s">
        <v>197</v>
      </c>
      <c r="D44" s="18" t="s">
        <v>13</v>
      </c>
      <c r="E44" s="57">
        <v>300000</v>
      </c>
      <c r="F44" s="45">
        <v>305000</v>
      </c>
      <c r="G44" s="156">
        <v>350000</v>
      </c>
      <c r="H44" s="156">
        <v>357000</v>
      </c>
    </row>
    <row r="45" spans="1:8" ht="12.75">
      <c r="A45" s="31"/>
      <c r="B45" s="18"/>
      <c r="C45" s="36" t="s">
        <v>198</v>
      </c>
      <c r="D45" s="18" t="s">
        <v>199</v>
      </c>
      <c r="E45" s="57">
        <f>42000+110000</f>
        <v>152000</v>
      </c>
      <c r="F45" s="45">
        <v>140000</v>
      </c>
      <c r="G45" s="156">
        <v>55000</v>
      </c>
      <c r="H45" s="156">
        <v>50000</v>
      </c>
    </row>
    <row r="46" spans="1:8" ht="12.75">
      <c r="A46" s="31"/>
      <c r="B46" s="18"/>
      <c r="C46" s="36" t="s">
        <v>200</v>
      </c>
      <c r="D46" s="18" t="s">
        <v>201</v>
      </c>
      <c r="E46" s="57">
        <v>6000</v>
      </c>
      <c r="F46" s="45">
        <v>8000</v>
      </c>
      <c r="G46" s="156">
        <v>0</v>
      </c>
      <c r="H46" s="156">
        <v>0</v>
      </c>
    </row>
    <row r="47" spans="1:8" ht="12.75">
      <c r="A47" s="31"/>
      <c r="B47" s="18"/>
      <c r="C47" s="36" t="s">
        <v>202</v>
      </c>
      <c r="D47" s="18" t="s">
        <v>203</v>
      </c>
      <c r="E47" s="57">
        <v>6000</v>
      </c>
      <c r="F47" s="45">
        <v>6000</v>
      </c>
      <c r="G47" s="156">
        <v>0</v>
      </c>
      <c r="H47" s="156">
        <v>0</v>
      </c>
    </row>
    <row r="48" spans="1:8" ht="12.75">
      <c r="A48" s="31"/>
      <c r="B48" s="18"/>
      <c r="C48" s="36" t="s">
        <v>204</v>
      </c>
      <c r="D48" s="18" t="s">
        <v>205</v>
      </c>
      <c r="E48" s="57">
        <v>90000</v>
      </c>
      <c r="F48" s="45">
        <v>110000</v>
      </c>
      <c r="G48" s="156">
        <v>0</v>
      </c>
      <c r="H48" s="156">
        <v>0</v>
      </c>
    </row>
    <row r="49" spans="1:8" ht="12.75">
      <c r="A49" s="31"/>
      <c r="B49" s="18"/>
      <c r="C49" s="36" t="s">
        <v>242</v>
      </c>
      <c r="D49" s="18" t="s">
        <v>241</v>
      </c>
      <c r="E49" s="57"/>
      <c r="F49" s="45">
        <v>15000</v>
      </c>
      <c r="G49" s="156">
        <v>4000</v>
      </c>
      <c r="H49" s="156">
        <v>2000</v>
      </c>
    </row>
    <row r="50" spans="1:8" ht="12.75">
      <c r="A50" s="31"/>
      <c r="B50" s="18"/>
      <c r="C50" s="36" t="s">
        <v>206</v>
      </c>
      <c r="D50" s="18" t="s">
        <v>15</v>
      </c>
      <c r="E50" s="57">
        <v>110000</v>
      </c>
      <c r="F50" s="45">
        <v>130000</v>
      </c>
      <c r="G50" s="156">
        <v>20000</v>
      </c>
      <c r="H50" s="156">
        <v>20000</v>
      </c>
    </row>
    <row r="51" spans="1:8" ht="12.75">
      <c r="A51" s="31"/>
      <c r="B51" s="18"/>
      <c r="C51" s="36" t="s">
        <v>207</v>
      </c>
      <c r="D51" s="18" t="s">
        <v>208</v>
      </c>
      <c r="E51" s="57">
        <v>5000</v>
      </c>
      <c r="F51" s="45">
        <v>7000</v>
      </c>
      <c r="G51" s="156">
        <v>7000</v>
      </c>
      <c r="H51" s="156">
        <v>10000</v>
      </c>
    </row>
    <row r="52" spans="1:8" ht="15">
      <c r="A52" s="31"/>
      <c r="B52" s="18">
        <v>75616</v>
      </c>
      <c r="C52" s="58"/>
      <c r="D52" s="16" t="s">
        <v>261</v>
      </c>
      <c r="E52" s="54">
        <f>E53+E54+E55+E56+E57+E58+E59+E61+E62</f>
        <v>0</v>
      </c>
      <c r="F52" s="55">
        <f>F53+F54+F55+F56+F57+F58+F59+F61+F62+F60</f>
        <v>0</v>
      </c>
      <c r="G52" s="160">
        <f>G53+G54+G55+G56+G57+G58+G59+G61+G62+G60</f>
        <v>1143000</v>
      </c>
      <c r="H52" s="160">
        <f>H53+H54+H55+H56+H57+H58+H59+H61+H62+H60</f>
        <v>1190000</v>
      </c>
    </row>
    <row r="53" spans="1:8" ht="12.75">
      <c r="A53" s="31"/>
      <c r="B53" s="56"/>
      <c r="C53" s="36" t="s">
        <v>193</v>
      </c>
      <c r="D53" s="18" t="s">
        <v>194</v>
      </c>
      <c r="E53" s="57"/>
      <c r="F53" s="45"/>
      <c r="G53" s="156">
        <v>630000</v>
      </c>
      <c r="H53" s="156">
        <v>700000</v>
      </c>
    </row>
    <row r="54" spans="1:8" ht="12.75">
      <c r="A54" s="31"/>
      <c r="B54" s="18"/>
      <c r="C54" s="36" t="s">
        <v>195</v>
      </c>
      <c r="D54" s="18" t="s">
        <v>196</v>
      </c>
      <c r="E54" s="57"/>
      <c r="F54" s="45"/>
      <c r="G54" s="156">
        <v>115000</v>
      </c>
      <c r="H54" s="156">
        <v>150000</v>
      </c>
    </row>
    <row r="55" spans="1:8" ht="12.75">
      <c r="A55" s="31"/>
      <c r="B55" s="18"/>
      <c r="C55" s="36" t="s">
        <v>197</v>
      </c>
      <c r="D55" s="18" t="s">
        <v>13</v>
      </c>
      <c r="E55" s="57"/>
      <c r="F55" s="45"/>
      <c r="G55" s="156">
        <v>20000</v>
      </c>
      <c r="H55" s="156">
        <v>23000</v>
      </c>
    </row>
    <row r="56" spans="1:8" ht="12.75">
      <c r="A56" s="31"/>
      <c r="B56" s="18"/>
      <c r="C56" s="36" t="s">
        <v>198</v>
      </c>
      <c r="D56" s="18" t="s">
        <v>199</v>
      </c>
      <c r="E56" s="57"/>
      <c r="F56" s="45"/>
      <c r="G56" s="156">
        <v>110000</v>
      </c>
      <c r="H56" s="156">
        <v>100000</v>
      </c>
    </row>
    <row r="57" spans="1:8" ht="12.75">
      <c r="A57" s="31"/>
      <c r="B57" s="18"/>
      <c r="C57" s="36" t="s">
        <v>200</v>
      </c>
      <c r="D57" s="18" t="s">
        <v>201</v>
      </c>
      <c r="E57" s="57"/>
      <c r="F57" s="45"/>
      <c r="G57" s="156">
        <v>20000</v>
      </c>
      <c r="H57" s="156">
        <v>5000</v>
      </c>
    </row>
    <row r="58" spans="1:8" ht="12.75">
      <c r="A58" s="31"/>
      <c r="B58" s="18"/>
      <c r="C58" s="173" t="s">
        <v>202</v>
      </c>
      <c r="D58" s="174" t="s">
        <v>203</v>
      </c>
      <c r="E58" s="175"/>
      <c r="F58" s="176"/>
      <c r="G58" s="189">
        <v>7000</v>
      </c>
      <c r="H58" s="189">
        <v>5000</v>
      </c>
    </row>
    <row r="59" spans="1:8" ht="12.75">
      <c r="A59" s="31"/>
      <c r="B59" s="18"/>
      <c r="C59" s="36" t="s">
        <v>204</v>
      </c>
      <c r="D59" s="18" t="s">
        <v>205</v>
      </c>
      <c r="E59" s="57"/>
      <c r="F59" s="45"/>
      <c r="G59" s="156">
        <v>115000</v>
      </c>
      <c r="H59" s="156">
        <v>110000</v>
      </c>
    </row>
    <row r="60" spans="1:8" ht="12.75">
      <c r="A60" s="31"/>
      <c r="B60" s="18"/>
      <c r="C60" s="36" t="s">
        <v>242</v>
      </c>
      <c r="D60" s="18" t="s">
        <v>241</v>
      </c>
      <c r="E60" s="57"/>
      <c r="F60" s="45"/>
      <c r="G60" s="156">
        <v>4000</v>
      </c>
      <c r="H60" s="156">
        <v>2000</v>
      </c>
    </row>
    <row r="61" spans="1:8" ht="12.75">
      <c r="A61" s="31"/>
      <c r="B61" s="18"/>
      <c r="C61" s="36" t="s">
        <v>206</v>
      </c>
      <c r="D61" s="18" t="s">
        <v>15</v>
      </c>
      <c r="E61" s="57"/>
      <c r="F61" s="45"/>
      <c r="G61" s="156">
        <v>115000</v>
      </c>
      <c r="H61" s="156">
        <v>90000</v>
      </c>
    </row>
    <row r="62" spans="1:8" ht="12.75">
      <c r="A62" s="31"/>
      <c r="B62" s="18"/>
      <c r="C62" s="36" t="s">
        <v>207</v>
      </c>
      <c r="D62" s="18" t="s">
        <v>208</v>
      </c>
      <c r="E62" s="57"/>
      <c r="F62" s="45"/>
      <c r="G62" s="156">
        <v>7000</v>
      </c>
      <c r="H62" s="156">
        <v>5000</v>
      </c>
    </row>
    <row r="63" spans="1:8" ht="15">
      <c r="A63" s="31"/>
      <c r="B63" s="18">
        <v>75618</v>
      </c>
      <c r="C63" s="36"/>
      <c r="D63" s="16" t="s">
        <v>262</v>
      </c>
      <c r="E63" s="54">
        <f>E64+E65+E66</f>
        <v>430000</v>
      </c>
      <c r="F63" s="55">
        <f>F64+F65+F66</f>
        <v>450000</v>
      </c>
      <c r="G63" s="160">
        <f>G64+G65+G66</f>
        <v>500000</v>
      </c>
      <c r="H63" s="160">
        <f>H64+H65+H66</f>
        <v>465000</v>
      </c>
    </row>
    <row r="64" spans="1:8" ht="12.75">
      <c r="A64" s="31"/>
      <c r="B64" s="56"/>
      <c r="C64" s="36" t="s">
        <v>209</v>
      </c>
      <c r="D64" s="18" t="s">
        <v>210</v>
      </c>
      <c r="E64" s="57">
        <v>160000</v>
      </c>
      <c r="F64" s="45">
        <v>170000</v>
      </c>
      <c r="G64" s="156">
        <v>205000</v>
      </c>
      <c r="H64" s="156">
        <v>180000</v>
      </c>
    </row>
    <row r="65" spans="1:8" ht="12.75">
      <c r="A65" s="31"/>
      <c r="B65" s="18"/>
      <c r="C65" s="36" t="s">
        <v>211</v>
      </c>
      <c r="D65" s="18" t="s">
        <v>212</v>
      </c>
      <c r="E65" s="57">
        <v>80000</v>
      </c>
      <c r="F65" s="45">
        <v>90000</v>
      </c>
      <c r="G65" s="156">
        <v>105000</v>
      </c>
      <c r="H65" s="156">
        <v>105000</v>
      </c>
    </row>
    <row r="66" spans="1:8" ht="12.75">
      <c r="A66" s="31"/>
      <c r="B66" s="18"/>
      <c r="C66" s="36" t="s">
        <v>213</v>
      </c>
      <c r="D66" s="18" t="s">
        <v>214</v>
      </c>
      <c r="E66" s="57">
        <v>190000</v>
      </c>
      <c r="F66" s="45">
        <v>190000</v>
      </c>
      <c r="G66" s="156">
        <v>190000</v>
      </c>
      <c r="H66" s="156">
        <v>180000</v>
      </c>
    </row>
    <row r="67" spans="1:8" ht="15">
      <c r="A67" s="31"/>
      <c r="B67" s="18">
        <v>75621</v>
      </c>
      <c r="C67" s="58"/>
      <c r="D67" s="16" t="s">
        <v>269</v>
      </c>
      <c r="E67" s="54">
        <f>E68+E69</f>
        <v>2611000</v>
      </c>
      <c r="F67" s="55">
        <f>F68+F69</f>
        <v>3086867</v>
      </c>
      <c r="G67" s="160">
        <f>G68+G69</f>
        <v>3729778</v>
      </c>
      <c r="H67" s="160">
        <f>H68+H69</f>
        <v>4619184</v>
      </c>
    </row>
    <row r="68" spans="1:8" ht="12.75">
      <c r="A68" s="31"/>
      <c r="B68" s="56"/>
      <c r="C68" s="36" t="s">
        <v>215</v>
      </c>
      <c r="D68" s="18" t="s">
        <v>216</v>
      </c>
      <c r="E68" s="57">
        <v>2511000</v>
      </c>
      <c r="F68" s="45">
        <v>2906867</v>
      </c>
      <c r="G68" s="156">
        <v>3539778</v>
      </c>
      <c r="H68" s="156">
        <v>4319184</v>
      </c>
    </row>
    <row r="69" spans="1:8" ht="12.75">
      <c r="A69" s="33"/>
      <c r="B69" s="21"/>
      <c r="C69" s="34" t="s">
        <v>217</v>
      </c>
      <c r="D69" s="21" t="s">
        <v>218</v>
      </c>
      <c r="E69" s="59">
        <v>100000</v>
      </c>
      <c r="F69" s="47">
        <v>180000</v>
      </c>
      <c r="G69" s="157">
        <v>190000</v>
      </c>
      <c r="H69" s="157">
        <v>300000</v>
      </c>
    </row>
    <row r="70" spans="1:8" ht="12.75">
      <c r="A70" s="502">
        <v>758</v>
      </c>
      <c r="B70" s="41"/>
      <c r="C70" s="13"/>
      <c r="D70" s="38" t="s">
        <v>8</v>
      </c>
      <c r="E70" s="15">
        <f>E71+E73+E77</f>
        <v>12641216</v>
      </c>
      <c r="F70" s="15">
        <f>F71+F73+F77</f>
        <v>12311142</v>
      </c>
      <c r="G70" s="151">
        <f>G71+G73+G77+G75</f>
        <v>13519423</v>
      </c>
      <c r="H70" s="151">
        <f>H71+H73+H77+H75</f>
        <v>14534154</v>
      </c>
    </row>
    <row r="71" spans="1:8" ht="15">
      <c r="A71" s="502"/>
      <c r="B71" s="41">
        <v>75801</v>
      </c>
      <c r="C71" s="13"/>
      <c r="D71" s="48" t="s">
        <v>219</v>
      </c>
      <c r="E71" s="17">
        <f>E72</f>
        <v>8435450</v>
      </c>
      <c r="F71" s="17">
        <f>F72</f>
        <v>8024457</v>
      </c>
      <c r="G71" s="152">
        <f>G72</f>
        <v>7966690</v>
      </c>
      <c r="H71" s="152">
        <f>H72</f>
        <v>8078301</v>
      </c>
    </row>
    <row r="72" spans="1:8" ht="12.75">
      <c r="A72" s="502"/>
      <c r="B72" s="41"/>
      <c r="C72" s="13" t="s">
        <v>220</v>
      </c>
      <c r="D72" s="41" t="s">
        <v>221</v>
      </c>
      <c r="E72" s="19">
        <v>8435450</v>
      </c>
      <c r="F72" s="19">
        <v>8024457</v>
      </c>
      <c r="G72" s="153">
        <v>7966690</v>
      </c>
      <c r="H72" s="153">
        <v>8078301</v>
      </c>
    </row>
    <row r="73" spans="1:8" ht="15">
      <c r="A73" s="502"/>
      <c r="B73" s="41">
        <v>75807</v>
      </c>
      <c r="C73" s="13"/>
      <c r="D73" s="48" t="s">
        <v>222</v>
      </c>
      <c r="E73" s="17">
        <f>E74</f>
        <v>4202766</v>
      </c>
      <c r="F73" s="17">
        <f>F74</f>
        <v>4283685</v>
      </c>
      <c r="G73" s="152">
        <f>G74</f>
        <v>4973768</v>
      </c>
      <c r="H73" s="152">
        <f>H74</f>
        <v>5773873</v>
      </c>
    </row>
    <row r="74" spans="1:8" ht="12.75">
      <c r="A74" s="502"/>
      <c r="B74" s="41"/>
      <c r="C74" s="13" t="s">
        <v>220</v>
      </c>
      <c r="D74" s="41" t="s">
        <v>221</v>
      </c>
      <c r="E74" s="19">
        <v>4202766</v>
      </c>
      <c r="F74" s="19">
        <v>4283685</v>
      </c>
      <c r="G74" s="153">
        <v>4973768</v>
      </c>
      <c r="H74" s="153">
        <v>5773873</v>
      </c>
    </row>
    <row r="75" spans="1:8" ht="12.75">
      <c r="A75" s="502"/>
      <c r="B75" s="41"/>
      <c r="C75" s="13"/>
      <c r="D75" s="48" t="s">
        <v>266</v>
      </c>
      <c r="E75" s="19"/>
      <c r="F75" s="19"/>
      <c r="G75" s="153">
        <f>G76</f>
        <v>573965</v>
      </c>
      <c r="H75" s="153">
        <f>H76</f>
        <v>675980</v>
      </c>
    </row>
    <row r="76" spans="1:8" ht="12.75">
      <c r="A76" s="502"/>
      <c r="B76" s="41"/>
      <c r="C76" s="13" t="s">
        <v>220</v>
      </c>
      <c r="D76" s="41" t="s">
        <v>221</v>
      </c>
      <c r="E76" s="19"/>
      <c r="F76" s="19"/>
      <c r="G76" s="153">
        <v>573965</v>
      </c>
      <c r="H76" s="153">
        <v>675980</v>
      </c>
    </row>
    <row r="77" spans="1:8" ht="15">
      <c r="A77" s="502"/>
      <c r="B77" s="41">
        <v>75814</v>
      </c>
      <c r="C77" s="13"/>
      <c r="D77" s="48" t="s">
        <v>223</v>
      </c>
      <c r="E77" s="17">
        <f>E78</f>
        <v>3000</v>
      </c>
      <c r="F77" s="17">
        <f>F78</f>
        <v>3000</v>
      </c>
      <c r="G77" s="152">
        <f>G78</f>
        <v>5000</v>
      </c>
      <c r="H77" s="152">
        <f>H78</f>
        <v>6000</v>
      </c>
    </row>
    <row r="78" spans="1:8" ht="12.75">
      <c r="A78" s="503"/>
      <c r="B78" s="60"/>
      <c r="C78" s="20" t="s">
        <v>224</v>
      </c>
      <c r="D78" s="60" t="s">
        <v>225</v>
      </c>
      <c r="E78" s="22">
        <v>3000</v>
      </c>
      <c r="F78" s="22">
        <v>3000</v>
      </c>
      <c r="G78" s="154">
        <v>5000</v>
      </c>
      <c r="H78" s="154">
        <v>6000</v>
      </c>
    </row>
    <row r="79" spans="1:8" ht="12.75">
      <c r="A79" s="504">
        <v>801</v>
      </c>
      <c r="B79" s="23"/>
      <c r="C79" s="24"/>
      <c r="D79" s="14" t="s">
        <v>9</v>
      </c>
      <c r="E79" s="25">
        <f>E80</f>
        <v>760000</v>
      </c>
      <c r="F79" s="25">
        <f>F80</f>
        <v>680000</v>
      </c>
      <c r="G79" s="155">
        <f>G80</f>
        <v>650000</v>
      </c>
      <c r="H79" s="155">
        <f>H80</f>
        <v>650000</v>
      </c>
    </row>
    <row r="80" spans="1:8" ht="15">
      <c r="A80" s="502"/>
      <c r="B80" s="18">
        <v>80195</v>
      </c>
      <c r="C80" s="27"/>
      <c r="D80" s="16" t="s">
        <v>226</v>
      </c>
      <c r="E80" s="17">
        <f>E81+E82+E83</f>
        <v>760000</v>
      </c>
      <c r="F80" s="17">
        <f>F81+F82+F83</f>
        <v>680000</v>
      </c>
      <c r="G80" s="152">
        <f>G81+G82+G83</f>
        <v>650000</v>
      </c>
      <c r="H80" s="152">
        <f>H81+H82+H83</f>
        <v>650000</v>
      </c>
    </row>
    <row r="81" spans="1:8" ht="12.75">
      <c r="A81" s="502"/>
      <c r="B81" s="18"/>
      <c r="C81" s="27" t="s">
        <v>180</v>
      </c>
      <c r="D81" s="18" t="s">
        <v>181</v>
      </c>
      <c r="E81" s="19">
        <v>530000</v>
      </c>
      <c r="F81" s="19">
        <v>480000</v>
      </c>
      <c r="G81" s="153">
        <v>450000</v>
      </c>
      <c r="H81" s="153">
        <v>453000</v>
      </c>
    </row>
    <row r="82" spans="1:8" ht="12.75">
      <c r="A82" s="502"/>
      <c r="B82" s="18"/>
      <c r="C82" s="27" t="s">
        <v>248</v>
      </c>
      <c r="D82" s="18" t="s">
        <v>312</v>
      </c>
      <c r="E82" s="19">
        <v>210000</v>
      </c>
      <c r="F82" s="19">
        <v>195000</v>
      </c>
      <c r="G82" s="153">
        <v>195000</v>
      </c>
      <c r="H82" s="153">
        <v>195000</v>
      </c>
    </row>
    <row r="83" spans="1:8" ht="12.75">
      <c r="A83" s="502"/>
      <c r="B83" s="18"/>
      <c r="C83" s="27" t="s">
        <v>177</v>
      </c>
      <c r="D83" s="18" t="s">
        <v>178</v>
      </c>
      <c r="E83" s="19">
        <v>20000</v>
      </c>
      <c r="F83" s="19">
        <v>5000</v>
      </c>
      <c r="G83" s="153">
        <v>5000</v>
      </c>
      <c r="H83" s="153">
        <v>2000</v>
      </c>
    </row>
    <row r="84" spans="1:8" ht="12.75">
      <c r="A84" s="505">
        <v>852</v>
      </c>
      <c r="B84" s="23"/>
      <c r="C84" s="35"/>
      <c r="D84" s="14" t="s">
        <v>106</v>
      </c>
      <c r="E84" s="53">
        <f>E85+E91+E93+E96+E98+E101</f>
        <v>1120015</v>
      </c>
      <c r="F84" s="50">
        <f>F85+F91+F93+F96+F98+F101+F89</f>
        <v>4739680</v>
      </c>
      <c r="G84" s="155">
        <f>G85+G91+G93+G96+G98+G101+G89+G104</f>
        <v>6363805</v>
      </c>
      <c r="H84" s="155">
        <f>H85+H91+H93+H96+H98+H101+H89+H104</f>
        <v>7530627</v>
      </c>
    </row>
    <row r="85" spans="1:8" ht="15">
      <c r="A85" s="506"/>
      <c r="B85" s="18">
        <v>85203</v>
      </c>
      <c r="C85" s="36"/>
      <c r="D85" s="18" t="s">
        <v>270</v>
      </c>
      <c r="E85" s="54">
        <f>E86</f>
        <v>303400</v>
      </c>
      <c r="F85" s="55">
        <f>F86</f>
        <v>307800</v>
      </c>
      <c r="G85" s="152">
        <f>G86</f>
        <v>311800</v>
      </c>
      <c r="H85" s="152">
        <f>H86+H87+H88</f>
        <v>407497</v>
      </c>
    </row>
    <row r="86" spans="1:8" ht="12.75">
      <c r="A86" s="506"/>
      <c r="B86" s="18"/>
      <c r="C86" s="36" t="s">
        <v>187</v>
      </c>
      <c r="D86" s="18" t="s">
        <v>255</v>
      </c>
      <c r="E86" s="57">
        <v>303400</v>
      </c>
      <c r="F86" s="45">
        <v>307800</v>
      </c>
      <c r="G86" s="153">
        <v>311800</v>
      </c>
      <c r="H86" s="153">
        <v>310700</v>
      </c>
    </row>
    <row r="87" spans="1:8" ht="12.75">
      <c r="A87" s="506"/>
      <c r="B87" s="18"/>
      <c r="C87" s="44" t="s">
        <v>344</v>
      </c>
      <c r="D87" s="18"/>
      <c r="E87" s="57"/>
      <c r="F87" s="45"/>
      <c r="G87" s="153"/>
      <c r="H87" s="153">
        <f>500*5%</f>
        <v>25</v>
      </c>
    </row>
    <row r="88" spans="1:8" ht="12.75">
      <c r="A88" s="506"/>
      <c r="B88" s="18"/>
      <c r="C88" s="34" t="s">
        <v>358</v>
      </c>
      <c r="D88" s="21" t="s">
        <v>307</v>
      </c>
      <c r="E88" s="57"/>
      <c r="F88" s="45"/>
      <c r="G88" s="153"/>
      <c r="H88" s="153">
        <v>96772</v>
      </c>
    </row>
    <row r="89" spans="1:8" ht="12.75">
      <c r="A89" s="506"/>
      <c r="B89" s="18">
        <v>85212</v>
      </c>
      <c r="C89" s="36"/>
      <c r="D89" s="18" t="s">
        <v>234</v>
      </c>
      <c r="E89" s="57"/>
      <c r="F89" s="45">
        <f>F90</f>
        <v>3748000</v>
      </c>
      <c r="G89" s="153">
        <f>G90</f>
        <v>5076000</v>
      </c>
      <c r="H89" s="153">
        <f>H90</f>
        <v>5881000</v>
      </c>
    </row>
    <row r="90" spans="1:8" ht="12.75">
      <c r="A90" s="506"/>
      <c r="B90" s="18"/>
      <c r="C90" s="36" t="s">
        <v>187</v>
      </c>
      <c r="D90" s="18" t="s">
        <v>255</v>
      </c>
      <c r="E90" s="57"/>
      <c r="F90" s="45">
        <v>3748000</v>
      </c>
      <c r="G90" s="153">
        <v>5076000</v>
      </c>
      <c r="H90" s="153">
        <v>5881000</v>
      </c>
    </row>
    <row r="91" spans="1:8" ht="15">
      <c r="A91" s="506"/>
      <c r="B91" s="18">
        <v>85213</v>
      </c>
      <c r="C91" s="36"/>
      <c r="D91" s="16" t="s">
        <v>49</v>
      </c>
      <c r="E91" s="54">
        <f>E92</f>
        <v>29000</v>
      </c>
      <c r="F91" s="55">
        <f>F92</f>
        <v>42200</v>
      </c>
      <c r="G91" s="152">
        <f>G92</f>
        <v>25800</v>
      </c>
      <c r="H91" s="152">
        <f>H92</f>
        <v>27800</v>
      </c>
    </row>
    <row r="92" spans="1:8" ht="12.75">
      <c r="A92" s="506"/>
      <c r="B92" s="18"/>
      <c r="C92" s="36" t="s">
        <v>187</v>
      </c>
      <c r="D92" s="18" t="s">
        <v>255</v>
      </c>
      <c r="E92" s="57">
        <v>29000</v>
      </c>
      <c r="F92" s="45">
        <v>42200</v>
      </c>
      <c r="G92" s="153">
        <v>25800</v>
      </c>
      <c r="H92" s="153">
        <v>27800</v>
      </c>
    </row>
    <row r="93" spans="1:8" ht="15">
      <c r="A93" s="506"/>
      <c r="B93" s="18">
        <v>85214</v>
      </c>
      <c r="C93" s="36"/>
      <c r="D93" s="16" t="s">
        <v>227</v>
      </c>
      <c r="E93" s="54">
        <f>E94</f>
        <v>525700</v>
      </c>
      <c r="F93" s="55">
        <f>F94+F95</f>
        <v>386500</v>
      </c>
      <c r="G93" s="152">
        <f>G94+G95</f>
        <v>561800</v>
      </c>
      <c r="H93" s="152">
        <f>H94+H95</f>
        <v>767100</v>
      </c>
    </row>
    <row r="94" spans="1:8" ht="12.75">
      <c r="A94" s="506"/>
      <c r="B94" s="18"/>
      <c r="C94" s="36" t="s">
        <v>187</v>
      </c>
      <c r="D94" s="18" t="s">
        <v>255</v>
      </c>
      <c r="E94" s="57">
        <v>525700</v>
      </c>
      <c r="F94" s="45">
        <v>237700</v>
      </c>
      <c r="G94" s="153">
        <v>206800</v>
      </c>
      <c r="H94" s="153">
        <v>183400</v>
      </c>
    </row>
    <row r="95" spans="1:8" ht="12.75">
      <c r="A95" s="506"/>
      <c r="B95" s="18"/>
      <c r="C95" s="36" t="s">
        <v>235</v>
      </c>
      <c r="D95" s="18" t="s">
        <v>19</v>
      </c>
      <c r="E95" s="57"/>
      <c r="F95" s="45">
        <v>148800</v>
      </c>
      <c r="G95" s="153">
        <v>355000</v>
      </c>
      <c r="H95" s="153">
        <v>583700</v>
      </c>
    </row>
    <row r="96" spans="1:8" ht="15">
      <c r="A96" s="506"/>
      <c r="B96" s="18">
        <v>85216</v>
      </c>
      <c r="C96" s="36"/>
      <c r="D96" s="16" t="s">
        <v>228</v>
      </c>
      <c r="E96" s="54">
        <f>E97</f>
        <v>15000</v>
      </c>
      <c r="F96" s="55">
        <f>F97</f>
        <v>0</v>
      </c>
      <c r="G96" s="152">
        <f>G97</f>
        <v>0</v>
      </c>
      <c r="H96" s="152">
        <f>H97</f>
        <v>0</v>
      </c>
    </row>
    <row r="97" spans="1:8" ht="12.75">
      <c r="A97" s="506"/>
      <c r="B97" s="18"/>
      <c r="C97" s="36" t="s">
        <v>187</v>
      </c>
      <c r="D97" s="18" t="s">
        <v>255</v>
      </c>
      <c r="E97" s="57">
        <v>15000</v>
      </c>
      <c r="F97" s="45"/>
      <c r="G97" s="153"/>
      <c r="H97" s="153"/>
    </row>
    <row r="98" spans="1:8" ht="15">
      <c r="A98" s="506"/>
      <c r="B98" s="18">
        <v>85219</v>
      </c>
      <c r="C98" s="36"/>
      <c r="D98" s="16" t="s">
        <v>97</v>
      </c>
      <c r="E98" s="54">
        <f>E99</f>
        <v>215000</v>
      </c>
      <c r="F98" s="55">
        <f>F99+F100</f>
        <v>219000</v>
      </c>
      <c r="G98" s="152">
        <f>G99+G100</f>
        <v>224000</v>
      </c>
      <c r="H98" s="152">
        <f>H99+H100</f>
        <v>239500</v>
      </c>
    </row>
    <row r="99" spans="1:8" ht="12.75">
      <c r="A99" s="506"/>
      <c r="B99" s="18"/>
      <c r="C99" s="36" t="s">
        <v>187</v>
      </c>
      <c r="D99" s="18" t="s">
        <v>255</v>
      </c>
      <c r="E99" s="57">
        <v>215000</v>
      </c>
      <c r="F99" s="45"/>
      <c r="G99" s="153"/>
      <c r="H99" s="153"/>
    </row>
    <row r="100" spans="1:8" ht="12.75">
      <c r="A100" s="506"/>
      <c r="B100" s="18"/>
      <c r="C100" s="36" t="s">
        <v>235</v>
      </c>
      <c r="D100" s="18" t="s">
        <v>19</v>
      </c>
      <c r="E100" s="57"/>
      <c r="F100" s="45">
        <v>219000</v>
      </c>
      <c r="G100" s="153">
        <v>224000</v>
      </c>
      <c r="H100" s="153">
        <v>239500</v>
      </c>
    </row>
    <row r="101" spans="1:8" ht="15">
      <c r="A101" s="506"/>
      <c r="B101" s="18">
        <v>85228</v>
      </c>
      <c r="C101" s="36"/>
      <c r="D101" s="16" t="s">
        <v>229</v>
      </c>
      <c r="E101" s="54">
        <f>E102+E103</f>
        <v>31915</v>
      </c>
      <c r="F101" s="55">
        <f>F102+F103</f>
        <v>36180</v>
      </c>
      <c r="G101" s="152">
        <f>G102+G103</f>
        <v>43705</v>
      </c>
      <c r="H101" s="152">
        <f>H102+H103</f>
        <v>71930</v>
      </c>
    </row>
    <row r="102" spans="1:8" ht="12.75">
      <c r="A102" s="506"/>
      <c r="B102" s="18"/>
      <c r="C102" s="36" t="s">
        <v>344</v>
      </c>
      <c r="D102" s="18"/>
      <c r="E102" s="57">
        <v>215</v>
      </c>
      <c r="F102" s="45">
        <f>3600*5%</f>
        <v>180</v>
      </c>
      <c r="G102" s="153">
        <v>205</v>
      </c>
      <c r="H102" s="153">
        <f>4600*5%</f>
        <v>230</v>
      </c>
    </row>
    <row r="103" spans="1:8" ht="12.75">
      <c r="A103" s="506"/>
      <c r="B103" s="18"/>
      <c r="C103" s="36" t="s">
        <v>187</v>
      </c>
      <c r="D103" s="18" t="s">
        <v>255</v>
      </c>
      <c r="E103" s="57">
        <v>31700</v>
      </c>
      <c r="F103" s="45">
        <v>36000</v>
      </c>
      <c r="G103" s="153">
        <v>43500</v>
      </c>
      <c r="H103" s="153">
        <v>71700</v>
      </c>
    </row>
    <row r="104" spans="1:8" ht="12.75">
      <c r="A104" s="506"/>
      <c r="B104" s="18">
        <v>85295</v>
      </c>
      <c r="C104" s="36"/>
      <c r="D104" s="18" t="s">
        <v>27</v>
      </c>
      <c r="E104" s="57"/>
      <c r="F104" s="45"/>
      <c r="G104" s="153">
        <f>G105</f>
        <v>120700</v>
      </c>
      <c r="H104" s="153">
        <f>H105</f>
        <v>135800</v>
      </c>
    </row>
    <row r="105" spans="1:8" ht="12.75">
      <c r="A105" s="506"/>
      <c r="B105" s="18"/>
      <c r="C105" s="36" t="s">
        <v>235</v>
      </c>
      <c r="D105" s="18" t="s">
        <v>19</v>
      </c>
      <c r="E105" s="57"/>
      <c r="F105" s="45"/>
      <c r="G105" s="153">
        <v>120700</v>
      </c>
      <c r="H105" s="153">
        <v>135800</v>
      </c>
    </row>
    <row r="106" spans="1:8" ht="12.75">
      <c r="A106" s="170">
        <v>853</v>
      </c>
      <c r="B106" s="23"/>
      <c r="C106" s="35"/>
      <c r="D106" s="23"/>
      <c r="E106" s="145"/>
      <c r="F106" s="144"/>
      <c r="G106" s="162"/>
      <c r="H106" s="155">
        <f>H107</f>
        <v>444690</v>
      </c>
    </row>
    <row r="107" spans="1:8" ht="12.75">
      <c r="A107" s="171"/>
      <c r="B107" s="18">
        <v>85395</v>
      </c>
      <c r="C107" s="36"/>
      <c r="D107" s="18"/>
      <c r="E107" s="57"/>
      <c r="F107" s="45"/>
      <c r="G107" s="153"/>
      <c r="H107" s="153">
        <f>H108+H109</f>
        <v>444690</v>
      </c>
    </row>
    <row r="108" spans="1:8" ht="12.75">
      <c r="A108" s="171"/>
      <c r="B108" s="18"/>
      <c r="C108" s="36"/>
      <c r="D108" s="18"/>
      <c r="E108" s="57"/>
      <c r="F108" s="45"/>
      <c r="G108" s="153"/>
      <c r="H108" s="153">
        <v>100334</v>
      </c>
    </row>
    <row r="109" spans="1:8" ht="12.75">
      <c r="A109" s="180"/>
      <c r="B109" s="21"/>
      <c r="C109" s="34"/>
      <c r="D109" s="21"/>
      <c r="E109" s="59"/>
      <c r="F109" s="47"/>
      <c r="G109" s="154"/>
      <c r="H109" s="154">
        <v>344356</v>
      </c>
    </row>
    <row r="110" spans="1:8" ht="12.75">
      <c r="A110" s="500">
        <v>900</v>
      </c>
      <c r="B110" s="23"/>
      <c r="C110" s="35"/>
      <c r="D110" s="14" t="s">
        <v>10</v>
      </c>
      <c r="E110" s="50">
        <f>E111</f>
        <v>1000</v>
      </c>
      <c r="F110" s="50">
        <f>F111</f>
        <v>2000</v>
      </c>
      <c r="G110" s="155">
        <f>G111</f>
        <v>4000</v>
      </c>
      <c r="H110" s="155">
        <f>H111</f>
        <v>2931878.72</v>
      </c>
    </row>
    <row r="111" spans="1:8" ht="15">
      <c r="A111" s="501"/>
      <c r="B111" s="18">
        <v>90002</v>
      </c>
      <c r="C111" s="36"/>
      <c r="D111" s="61" t="s">
        <v>230</v>
      </c>
      <c r="E111" s="55">
        <f>E112</f>
        <v>1000</v>
      </c>
      <c r="F111" s="55">
        <f>F112</f>
        <v>2000</v>
      </c>
      <c r="G111" s="152">
        <f>G112+G113+G114</f>
        <v>4000</v>
      </c>
      <c r="H111" s="152">
        <f>H112+H113+H114</f>
        <v>2931878.72</v>
      </c>
    </row>
    <row r="112" spans="1:8" ht="12.75">
      <c r="A112" s="501"/>
      <c r="B112" s="18"/>
      <c r="C112" s="36" t="s">
        <v>231</v>
      </c>
      <c r="D112" s="56" t="s">
        <v>232</v>
      </c>
      <c r="E112" s="45">
        <v>1000</v>
      </c>
      <c r="F112" s="45">
        <v>2000</v>
      </c>
      <c r="G112" s="153">
        <v>4000</v>
      </c>
      <c r="H112" s="153">
        <v>2000</v>
      </c>
    </row>
    <row r="113" spans="1:8" ht="12.75">
      <c r="A113" s="31"/>
      <c r="B113" s="18"/>
      <c r="C113" s="36" t="s">
        <v>264</v>
      </c>
      <c r="D113" s="56" t="s">
        <v>265</v>
      </c>
      <c r="E113" s="45"/>
      <c r="F113" s="45"/>
      <c r="G113" s="153"/>
      <c r="H113" s="153">
        <v>1077543.85</v>
      </c>
    </row>
    <row r="114" spans="1:8" ht="12.75">
      <c r="A114" s="33"/>
      <c r="B114" s="21"/>
      <c r="C114" s="46" t="s">
        <v>186</v>
      </c>
      <c r="D114" s="21" t="s">
        <v>254</v>
      </c>
      <c r="E114" s="47"/>
      <c r="F114" s="47"/>
      <c r="G114" s="154"/>
      <c r="H114" s="154">
        <v>1852334.87</v>
      </c>
    </row>
    <row r="115" spans="1:8" ht="12.75">
      <c r="A115" s="502">
        <v>921</v>
      </c>
      <c r="B115" s="41"/>
      <c r="C115" s="36"/>
      <c r="D115" s="31" t="s">
        <v>11</v>
      </c>
      <c r="E115" s="62">
        <f>E120</f>
        <v>10000</v>
      </c>
      <c r="F115" s="63">
        <f>F120</f>
        <v>5000</v>
      </c>
      <c r="G115" s="161">
        <f>G120+G116+G118</f>
        <v>643937.45</v>
      </c>
      <c r="H115" s="161">
        <f>H120+H116+H118</f>
        <v>70198.62</v>
      </c>
    </row>
    <row r="116" spans="1:8" ht="12.75">
      <c r="A116" s="502"/>
      <c r="B116" s="64">
        <v>92109</v>
      </c>
      <c r="C116" s="27"/>
      <c r="D116" s="51" t="s">
        <v>61</v>
      </c>
      <c r="E116" s="62"/>
      <c r="F116" s="63"/>
      <c r="G116" s="156">
        <f>G117</f>
        <v>304918</v>
      </c>
      <c r="H116" s="156">
        <f>H117</f>
        <v>65198.62</v>
      </c>
    </row>
    <row r="117" spans="1:8" ht="12.75">
      <c r="A117" s="502"/>
      <c r="B117" s="64"/>
      <c r="C117" s="27"/>
      <c r="D117" s="64" t="s">
        <v>254</v>
      </c>
      <c r="E117" s="62"/>
      <c r="F117" s="63"/>
      <c r="G117" s="156">
        <v>304918</v>
      </c>
      <c r="H117" s="156">
        <v>65198.62</v>
      </c>
    </row>
    <row r="118" spans="1:8" ht="12.75">
      <c r="A118" s="502"/>
      <c r="B118" s="64">
        <v>92116</v>
      </c>
      <c r="C118" s="27"/>
      <c r="D118" s="51" t="s">
        <v>62</v>
      </c>
      <c r="E118" s="62"/>
      <c r="F118" s="63"/>
      <c r="G118" s="156">
        <f>G119</f>
        <v>334019.45</v>
      </c>
      <c r="H118" s="156">
        <f>H119</f>
        <v>0</v>
      </c>
    </row>
    <row r="119" spans="1:8" ht="12.75">
      <c r="A119" s="502"/>
      <c r="B119" s="64"/>
      <c r="C119" s="27" t="s">
        <v>253</v>
      </c>
      <c r="D119" s="64" t="s">
        <v>254</v>
      </c>
      <c r="E119" s="62"/>
      <c r="F119" s="63"/>
      <c r="G119" s="156">
        <v>334019.45</v>
      </c>
      <c r="H119" s="156"/>
    </row>
    <row r="120" spans="1:8" ht="15">
      <c r="A120" s="502"/>
      <c r="B120" s="64">
        <v>92195</v>
      </c>
      <c r="C120" s="27"/>
      <c r="D120" s="51" t="s">
        <v>27</v>
      </c>
      <c r="E120" s="55">
        <f>E121</f>
        <v>10000</v>
      </c>
      <c r="F120" s="54">
        <f>F121</f>
        <v>5000</v>
      </c>
      <c r="G120" s="160">
        <f>G121</f>
        <v>5000</v>
      </c>
      <c r="H120" s="160">
        <f>H121</f>
        <v>5000</v>
      </c>
    </row>
    <row r="121" spans="1:8" ht="14.25" customHeight="1">
      <c r="A121" s="502"/>
      <c r="B121" s="41"/>
      <c r="C121" s="36" t="s">
        <v>233</v>
      </c>
      <c r="D121" s="90" t="s">
        <v>263</v>
      </c>
      <c r="E121" s="45">
        <v>10000</v>
      </c>
      <c r="F121" s="57">
        <v>5000</v>
      </c>
      <c r="G121" s="156">
        <v>5000</v>
      </c>
      <c r="H121" s="156">
        <v>5000</v>
      </c>
    </row>
    <row r="122" spans="1:8" ht="14.25" customHeight="1">
      <c r="A122" s="28">
        <v>926</v>
      </c>
      <c r="B122" s="23"/>
      <c r="C122" s="35"/>
      <c r="D122" s="23" t="s">
        <v>63</v>
      </c>
      <c r="E122" s="145"/>
      <c r="F122" s="144"/>
      <c r="G122" s="162">
        <f>G123</f>
        <v>37000</v>
      </c>
      <c r="H122" s="162">
        <f>H123</f>
        <v>0</v>
      </c>
    </row>
    <row r="123" spans="1:8" ht="14.25" customHeight="1">
      <c r="A123" s="31"/>
      <c r="B123" s="18">
        <v>92605</v>
      </c>
      <c r="C123" s="36"/>
      <c r="D123" s="18" t="s">
        <v>306</v>
      </c>
      <c r="E123" s="57"/>
      <c r="F123" s="45"/>
      <c r="G123" s="153">
        <f>G124</f>
        <v>37000</v>
      </c>
      <c r="H123" s="153">
        <f>H124</f>
        <v>0</v>
      </c>
    </row>
    <row r="124" spans="1:8" ht="14.25" customHeight="1">
      <c r="A124" s="33"/>
      <c r="B124" s="21"/>
      <c r="C124" s="34" t="s">
        <v>305</v>
      </c>
      <c r="D124" s="21" t="s">
        <v>307</v>
      </c>
      <c r="E124" s="59"/>
      <c r="F124" s="47"/>
      <c r="G124" s="154">
        <v>37000</v>
      </c>
      <c r="H124" s="154"/>
    </row>
    <row r="125" spans="1:8" ht="12.75">
      <c r="A125" s="21"/>
      <c r="B125" s="60"/>
      <c r="C125" s="20"/>
      <c r="D125" s="60" t="s">
        <v>12</v>
      </c>
      <c r="E125" s="65">
        <f>E115+E110+E84+E79+E70+E38+E32+E24+E21+E15+E8+E4+E35</f>
        <v>23216551</v>
      </c>
      <c r="F125" s="65">
        <f>F115+F110+F84+F79+F70+F38+F32+F24+F21+F15+F8+F4+F35</f>
        <v>27389238</v>
      </c>
      <c r="G125" s="163">
        <f>G115+G110+G84+G79+G70+G38+G32+G24+G21+G15+G8+G4+G35+G12+G122</f>
        <v>31764890.45</v>
      </c>
      <c r="H125" s="163">
        <f>H115+H110+H84+H79+H70+H38+H32+H24+H21+H15+H8+H4+H35+H12+H122+H106</f>
        <v>37808141.510000005</v>
      </c>
    </row>
    <row r="127" spans="4:8" ht="12.75">
      <c r="D127" s="3" t="s">
        <v>244</v>
      </c>
      <c r="E127" s="5">
        <f>E5+E9+E21+E26+E28+E51+E62+E66+E83+E102+E112+E79</f>
        <v>1059715</v>
      </c>
      <c r="F127" s="5">
        <f>F5+F9+F21+F26+F28+F51+F62+F66+F83+F102+F112+F79</f>
        <v>985680</v>
      </c>
      <c r="G127" s="149">
        <f>G5+G9+G21+G26+G28+G51+G62+G66+G83+G102+G112+G79</f>
        <v>981705</v>
      </c>
      <c r="H127" s="149">
        <f>H5+H9+H21+H26+H28+H51+H62+H66+H83+H102+H112+H79</f>
        <v>933230</v>
      </c>
    </row>
    <row r="128" spans="4:8" ht="12.75">
      <c r="D128" s="3" t="s">
        <v>245</v>
      </c>
      <c r="E128" s="5">
        <f>E34+E27+E86+E90+E92+E94+E103</f>
        <v>1017620</v>
      </c>
      <c r="F128" s="5">
        <f>F34+F27+F86+F90+F92+F94+F103</f>
        <v>4503509</v>
      </c>
      <c r="G128" s="149">
        <f>G34+G27+G86+G90+G92+G94+G103</f>
        <v>5797747</v>
      </c>
      <c r="H128" s="149">
        <f>H34+H27+H86+H90+H92+H94+H103</f>
        <v>6608539</v>
      </c>
    </row>
    <row r="129" spans="4:8" ht="12.75">
      <c r="D129" s="3" t="s">
        <v>246</v>
      </c>
      <c r="E129" s="5">
        <f>E95+E100+E105</f>
        <v>0</v>
      </c>
      <c r="F129" s="5">
        <f>F95+F100+F105</f>
        <v>367800</v>
      </c>
      <c r="G129" s="149">
        <f>G95+G100+G105</f>
        <v>699700</v>
      </c>
      <c r="H129" s="149">
        <f>H95+H100+H105</f>
        <v>959000</v>
      </c>
    </row>
    <row r="130" spans="4:8" ht="12.75">
      <c r="D130" s="3" t="s">
        <v>252</v>
      </c>
      <c r="E130" s="5">
        <f>E72+E74+E75</f>
        <v>12638216</v>
      </c>
      <c r="F130" s="5">
        <f>F72+F74+F75</f>
        <v>12308142</v>
      </c>
      <c r="G130" s="149">
        <f>G72+G74+G75</f>
        <v>13514423</v>
      </c>
      <c r="H130" s="149">
        <f>H72+H74+H75</f>
        <v>14528154</v>
      </c>
    </row>
    <row r="134" spans="6:8" ht="12.75">
      <c r="F134" s="146" t="s">
        <v>317</v>
      </c>
      <c r="G134" s="149">
        <f>G125*20%</f>
        <v>6352978.09</v>
      </c>
      <c r="H134" s="149">
        <f>H125*20%</f>
        <v>7561628.302000001</v>
      </c>
    </row>
  </sheetData>
  <mergeCells count="11">
    <mergeCell ref="A4:A7"/>
    <mergeCell ref="A8:A11"/>
    <mergeCell ref="A15:A19"/>
    <mergeCell ref="A24:A30"/>
    <mergeCell ref="A110:A112"/>
    <mergeCell ref="A115:A121"/>
    <mergeCell ref="A32:A34"/>
    <mergeCell ref="A35:A37"/>
    <mergeCell ref="A70:A78"/>
    <mergeCell ref="A79:A83"/>
    <mergeCell ref="A84:A105"/>
  </mergeCells>
  <printOptions/>
  <pageMargins left="0.29" right="0.31" top="0.32" bottom="0.38" header="0.24" footer="0.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showGridLines="0" workbookViewId="0" topLeftCell="A37">
      <selection activeCell="A21" sqref="A21:C73"/>
    </sheetView>
  </sheetViews>
  <sheetFormatPr defaultColWidth="9.00390625" defaultRowHeight="12.75" customHeight="1"/>
  <cols>
    <col min="1" max="1" width="5.00390625" style="95" customWidth="1"/>
    <col min="2" max="2" width="51.375" style="3" customWidth="1"/>
    <col min="3" max="3" width="14.00390625" style="229" customWidth="1"/>
    <col min="4" max="4" width="18.00390625" style="1" bestFit="1" customWidth="1"/>
    <col min="5" max="16384" width="9.125" style="1" customWidth="1"/>
  </cols>
  <sheetData>
    <row r="1" spans="1:3" ht="12.75" customHeight="1">
      <c r="A1" s="498" t="s">
        <v>156</v>
      </c>
      <c r="B1" s="498"/>
      <c r="C1" s="498"/>
    </row>
    <row r="2" spans="1:3" ht="12.75" customHeight="1">
      <c r="A2" s="497" t="s">
        <v>375</v>
      </c>
      <c r="B2" s="497"/>
      <c r="C2" s="497"/>
    </row>
    <row r="3" ht="6.75" customHeight="1"/>
    <row r="4" spans="1:3" ht="12.75" customHeight="1">
      <c r="A4" s="322" t="s">
        <v>1</v>
      </c>
      <c r="B4" s="323" t="s">
        <v>2</v>
      </c>
      <c r="C4" s="265" t="s">
        <v>322</v>
      </c>
    </row>
    <row r="5" spans="1:3" ht="12.75" customHeight="1">
      <c r="A5" s="324" t="s">
        <v>69</v>
      </c>
      <c r="B5" s="8" t="s">
        <v>3</v>
      </c>
      <c r="C5" s="230">
        <f>'Dochody wg §'!H4</f>
        <v>10000</v>
      </c>
    </row>
    <row r="6" spans="1:3" ht="12.75" customHeight="1">
      <c r="A6" s="91">
        <v>630</v>
      </c>
      <c r="B6" s="8" t="s">
        <v>5</v>
      </c>
      <c r="C6" s="230">
        <f>'Dochody wg §'!H8</f>
        <v>20000</v>
      </c>
    </row>
    <row r="7" spans="1:3" ht="12.75" customHeight="1">
      <c r="A7" s="91">
        <v>600</v>
      </c>
      <c r="B7" s="23" t="s">
        <v>4</v>
      </c>
      <c r="C7" s="230">
        <f>'Dochody wg §'!H12</f>
        <v>233960.17</v>
      </c>
    </row>
    <row r="8" spans="1:3" ht="12.75" customHeight="1">
      <c r="A8" s="91">
        <v>700</v>
      </c>
      <c r="B8" s="8" t="s">
        <v>6</v>
      </c>
      <c r="C8" s="230">
        <f>'Dochody wg §'!H15</f>
        <v>715510</v>
      </c>
    </row>
    <row r="9" spans="1:3" ht="12.75" customHeight="1">
      <c r="A9" s="91">
        <v>710</v>
      </c>
      <c r="B9" s="8" t="s">
        <v>32</v>
      </c>
      <c r="C9" s="230">
        <f>'Dochody wg §'!H21</f>
        <v>18000</v>
      </c>
    </row>
    <row r="10" spans="1:3" ht="12.75" customHeight="1">
      <c r="A10" s="91">
        <v>750</v>
      </c>
      <c r="B10" s="8" t="s">
        <v>7</v>
      </c>
      <c r="C10" s="230">
        <f>'Dochody wg §'!H24</f>
        <v>167073</v>
      </c>
    </row>
    <row r="11" spans="1:3" ht="12.75" customHeight="1">
      <c r="A11" s="91">
        <v>751</v>
      </c>
      <c r="B11" s="8" t="s">
        <v>373</v>
      </c>
      <c r="C11" s="230">
        <f>'Dochody wg §'!H32</f>
        <v>2866</v>
      </c>
    </row>
    <row r="12" spans="1:3" ht="12.75" customHeight="1">
      <c r="A12" s="91">
        <v>756</v>
      </c>
      <c r="B12" s="8" t="s">
        <v>155</v>
      </c>
      <c r="C12" s="230">
        <f>'Dochody wg §'!H38</f>
        <v>10479184</v>
      </c>
    </row>
    <row r="13" spans="1:3" ht="12.75" customHeight="1">
      <c r="A13" s="91">
        <v>758</v>
      </c>
      <c r="B13" s="8" t="s">
        <v>8</v>
      </c>
      <c r="C13" s="230">
        <f>'Dochody wg §'!H70</f>
        <v>14534154</v>
      </c>
    </row>
    <row r="14" spans="1:3" ht="12.75" customHeight="1">
      <c r="A14" s="91">
        <v>801</v>
      </c>
      <c r="B14" s="8" t="s">
        <v>9</v>
      </c>
      <c r="C14" s="230">
        <f>'Dochody wg §'!H79</f>
        <v>650000</v>
      </c>
    </row>
    <row r="15" spans="1:3" ht="12.75" customHeight="1">
      <c r="A15" s="91">
        <v>852</v>
      </c>
      <c r="B15" s="8" t="s">
        <v>106</v>
      </c>
      <c r="C15" s="230">
        <f>'Dochody wg §'!H84</f>
        <v>7530627</v>
      </c>
    </row>
    <row r="16" spans="1:3" ht="12.75" customHeight="1">
      <c r="A16" s="91">
        <v>853</v>
      </c>
      <c r="B16" s="8" t="s">
        <v>372</v>
      </c>
      <c r="C16" s="230">
        <f>'Dochody wg §'!H106</f>
        <v>444690</v>
      </c>
    </row>
    <row r="17" spans="1:3" ht="12.75" customHeight="1">
      <c r="A17" s="91">
        <v>900</v>
      </c>
      <c r="B17" s="8" t="s">
        <v>10</v>
      </c>
      <c r="C17" s="230">
        <f>'Dochody wg §'!H110</f>
        <v>2931878.72</v>
      </c>
    </row>
    <row r="18" spans="1:3" ht="12.75" customHeight="1">
      <c r="A18" s="91">
        <v>921</v>
      </c>
      <c r="B18" s="8" t="s">
        <v>11</v>
      </c>
      <c r="C18" s="230">
        <f>'Dochody wg §'!H115</f>
        <v>70198.62</v>
      </c>
    </row>
    <row r="19" spans="1:3" ht="12.75" customHeight="1">
      <c r="A19" s="325"/>
      <c r="B19" s="323" t="s">
        <v>12</v>
      </c>
      <c r="C19" s="277">
        <f>SUM(C5:C18)</f>
        <v>37808141.51</v>
      </c>
    </row>
    <row r="21" spans="1:3" ht="12.75" customHeight="1">
      <c r="A21" s="498" t="s">
        <v>157</v>
      </c>
      <c r="B21" s="498"/>
      <c r="C21" s="498"/>
    </row>
    <row r="22" spans="1:3" ht="12.75" customHeight="1">
      <c r="A22" s="497" t="s">
        <v>376</v>
      </c>
      <c r="B22" s="497"/>
      <c r="C22" s="497"/>
    </row>
    <row r="23" ht="6" customHeight="1"/>
    <row r="24" spans="1:3" ht="12.75" customHeight="1">
      <c r="A24" s="266" t="s">
        <v>0</v>
      </c>
      <c r="B24" s="267" t="s">
        <v>2</v>
      </c>
      <c r="C24" s="268" t="s">
        <v>322</v>
      </c>
    </row>
    <row r="25" spans="1:3" ht="12.75" customHeight="1">
      <c r="A25" s="170">
        <v>1</v>
      </c>
      <c r="B25" s="213" t="s">
        <v>323</v>
      </c>
      <c r="C25" s="232">
        <f>C26+C27+C28+C29+C30+C31+C32+C33+C34+C35+C36+C37</f>
        <v>5665000</v>
      </c>
    </row>
    <row r="26" spans="1:3" ht="12.75" customHeight="1">
      <c r="A26" s="177"/>
      <c r="B26" s="214" t="s">
        <v>194</v>
      </c>
      <c r="C26" s="233">
        <f>'Dochody wg §'!H42+'Dochody wg §'!H53</f>
        <v>4380000</v>
      </c>
    </row>
    <row r="27" spans="1:3" ht="12.75" customHeight="1">
      <c r="A27" s="177"/>
      <c r="B27" s="214" t="s">
        <v>196</v>
      </c>
      <c r="C27" s="233">
        <f>+'Dochody wg §'!H43+'Dochody wg §'!H54</f>
        <v>200000</v>
      </c>
    </row>
    <row r="28" spans="1:3" ht="12.75" customHeight="1">
      <c r="A28" s="177"/>
      <c r="B28" s="214" t="s">
        <v>13</v>
      </c>
      <c r="C28" s="233">
        <f>+'Dochody wg §'!H44+'Dochody wg §'!H55</f>
        <v>380000</v>
      </c>
    </row>
    <row r="29" spans="1:3" ht="12.75" customHeight="1">
      <c r="A29" s="177"/>
      <c r="B29" s="214" t="s">
        <v>324</v>
      </c>
      <c r="C29" s="233">
        <f>'Dochody wg §'!H45+'Dochody wg §'!H56</f>
        <v>150000</v>
      </c>
    </row>
    <row r="30" spans="1:3" ht="12.75" customHeight="1">
      <c r="A30" s="177"/>
      <c r="B30" s="214" t="s">
        <v>21</v>
      </c>
      <c r="C30" s="233">
        <f>'Dochody wg §'!H40</f>
        <v>36000</v>
      </c>
    </row>
    <row r="31" spans="1:3" ht="12.75" customHeight="1">
      <c r="A31" s="177"/>
      <c r="B31" s="215" t="s">
        <v>325</v>
      </c>
      <c r="C31" s="233">
        <f>'Dochody wg §'!H58</f>
        <v>5000</v>
      </c>
    </row>
    <row r="32" spans="1:3" ht="12.75" customHeight="1">
      <c r="A32" s="177"/>
      <c r="B32" s="214" t="s">
        <v>14</v>
      </c>
      <c r="C32" s="233">
        <f>'Dochody wg §'!H57</f>
        <v>5000</v>
      </c>
    </row>
    <row r="33" spans="1:3" ht="12.75" customHeight="1">
      <c r="A33" s="177"/>
      <c r="B33" s="214" t="s">
        <v>15</v>
      </c>
      <c r="C33" s="233">
        <f>'Dochody wg §'!H50+'Dochody wg §'!H61</f>
        <v>110000</v>
      </c>
    </row>
    <row r="34" spans="1:3" ht="12.75" customHeight="1">
      <c r="A34" s="177"/>
      <c r="B34" s="214" t="s">
        <v>87</v>
      </c>
      <c r="C34" s="233">
        <f>'Dochody wg §'!H64</f>
        <v>180000</v>
      </c>
    </row>
    <row r="35" spans="1:3" ht="12.75" customHeight="1">
      <c r="A35" s="177"/>
      <c r="B35" s="214" t="s">
        <v>326</v>
      </c>
      <c r="C35" s="233">
        <f>'Dochody wg §'!H59</f>
        <v>110000</v>
      </c>
    </row>
    <row r="36" spans="1:3" ht="12.75" customHeight="1">
      <c r="A36" s="177"/>
      <c r="B36" s="215" t="s">
        <v>327</v>
      </c>
      <c r="C36" s="233">
        <f>'Dochody wg §'!H60+'Dochody wg §'!H49</f>
        <v>4000</v>
      </c>
    </row>
    <row r="37" spans="1:3" ht="12.75" customHeight="1">
      <c r="A37" s="134"/>
      <c r="B37" s="216" t="s">
        <v>16</v>
      </c>
      <c r="C37" s="234">
        <f>'Dochody wg §'!H65</f>
        <v>105000</v>
      </c>
    </row>
    <row r="38" spans="1:3" ht="12.75" customHeight="1">
      <c r="A38" s="179">
        <v>2</v>
      </c>
      <c r="B38" s="217" t="s">
        <v>272</v>
      </c>
      <c r="C38" s="235">
        <f>C39+C40</f>
        <v>4619184</v>
      </c>
    </row>
    <row r="39" spans="1:3" ht="12.75" customHeight="1">
      <c r="A39" s="172"/>
      <c r="B39" s="214" t="s">
        <v>17</v>
      </c>
      <c r="C39" s="233">
        <f>'Dochody wg §'!H68</f>
        <v>4319184</v>
      </c>
    </row>
    <row r="40" spans="1:3" ht="12.75" customHeight="1">
      <c r="A40" s="11"/>
      <c r="B40" s="216" t="s">
        <v>18</v>
      </c>
      <c r="C40" s="234">
        <f>'Dochody wg §'!H69</f>
        <v>300000</v>
      </c>
    </row>
    <row r="41" spans="1:3" ht="12.75" customHeight="1">
      <c r="A41" s="102">
        <v>3</v>
      </c>
      <c r="B41" s="218" t="s">
        <v>328</v>
      </c>
      <c r="C41" s="232">
        <f>'Dochody wg §'!H16</f>
        <v>715510</v>
      </c>
    </row>
    <row r="42" spans="1:3" ht="12.75" customHeight="1">
      <c r="A42" s="170">
        <v>4</v>
      </c>
      <c r="B42" s="219" t="s">
        <v>329</v>
      </c>
      <c r="C42" s="232">
        <f>C43+C44+C45</f>
        <v>7572539</v>
      </c>
    </row>
    <row r="43" spans="1:3" ht="12.75" customHeight="1">
      <c r="A43" s="177"/>
      <c r="B43" s="220" t="s">
        <v>434</v>
      </c>
      <c r="C43" s="233">
        <f>'Dochody wg §'!H128</f>
        <v>6608539</v>
      </c>
    </row>
    <row r="44" spans="1:3" ht="12.75" customHeight="1">
      <c r="A44" s="177"/>
      <c r="B44" s="220" t="s">
        <v>435</v>
      </c>
      <c r="C44" s="233">
        <f>'Dochody wg §'!H129</f>
        <v>959000</v>
      </c>
    </row>
    <row r="45" spans="1:3" ht="12.75" customHeight="1">
      <c r="A45" s="134"/>
      <c r="B45" s="220" t="s">
        <v>330</v>
      </c>
      <c r="C45" s="233">
        <f>'Dochody wg §'!H121</f>
        <v>5000</v>
      </c>
    </row>
    <row r="46" spans="1:3" ht="12.75" customHeight="1">
      <c r="A46" s="170">
        <v>5</v>
      </c>
      <c r="B46" s="219" t="s">
        <v>331</v>
      </c>
      <c r="C46" s="232">
        <f>C47+C48+C49</f>
        <v>14528154</v>
      </c>
    </row>
    <row r="47" spans="1:3" ht="12.75" customHeight="1">
      <c r="A47" s="177"/>
      <c r="B47" s="220" t="s">
        <v>20</v>
      </c>
      <c r="C47" s="233">
        <f>'Dochody wg §'!H72</f>
        <v>8078301</v>
      </c>
    </row>
    <row r="48" spans="1:3" ht="12.75" customHeight="1">
      <c r="A48" s="177"/>
      <c r="B48" s="220" t="s">
        <v>172</v>
      </c>
      <c r="C48" s="233">
        <f>'Dochody wg §'!H74</f>
        <v>5773873</v>
      </c>
    </row>
    <row r="49" spans="1:3" ht="12.75" customHeight="1">
      <c r="A49" s="134"/>
      <c r="B49" s="221" t="s">
        <v>247</v>
      </c>
      <c r="C49" s="234">
        <f>'Dochody wg §'!H76</f>
        <v>675980</v>
      </c>
    </row>
    <row r="50" spans="1:3" ht="12.75" customHeight="1">
      <c r="A50" s="170">
        <v>6</v>
      </c>
      <c r="B50" s="222" t="s">
        <v>332</v>
      </c>
      <c r="C50" s="232">
        <f>C51+C52+C53+C54+C57+C55+C56</f>
        <v>3770499.5100000002</v>
      </c>
    </row>
    <row r="51" spans="1:3" ht="12.75" customHeight="1">
      <c r="A51" s="171"/>
      <c r="B51" s="214" t="s">
        <v>427</v>
      </c>
      <c r="C51" s="233">
        <f>'Dochody wg §'!H108</f>
        <v>100334</v>
      </c>
    </row>
    <row r="52" spans="1:3" ht="12.75" customHeight="1">
      <c r="A52" s="171"/>
      <c r="B52" s="214" t="s">
        <v>428</v>
      </c>
      <c r="C52" s="233">
        <f>'Dochody wg §'!H109</f>
        <v>344356</v>
      </c>
    </row>
    <row r="53" spans="1:3" ht="12.75" customHeight="1">
      <c r="A53" s="171"/>
      <c r="B53" s="214" t="s">
        <v>429</v>
      </c>
      <c r="C53" s="233">
        <f>'Dochody wg §'!H114</f>
        <v>1852334.87</v>
      </c>
    </row>
    <row r="54" spans="1:3" ht="12.75" customHeight="1">
      <c r="A54" s="171"/>
      <c r="B54" s="214" t="s">
        <v>430</v>
      </c>
      <c r="C54" s="233">
        <f>'Dochody wg §'!H113</f>
        <v>1077543.85</v>
      </c>
    </row>
    <row r="55" spans="1:3" ht="12.75" customHeight="1">
      <c r="A55" s="171"/>
      <c r="B55" s="346" t="s">
        <v>465</v>
      </c>
      <c r="C55" s="233">
        <v>233960.17</v>
      </c>
    </row>
    <row r="56" spans="1:3" ht="12.75" customHeight="1">
      <c r="A56" s="171"/>
      <c r="B56" s="346" t="s">
        <v>466</v>
      </c>
      <c r="C56" s="233">
        <f>21784.41+26243.78+17170.43</f>
        <v>65198.62</v>
      </c>
    </row>
    <row r="57" spans="1:3" ht="12.75" customHeight="1">
      <c r="A57" s="171"/>
      <c r="B57" s="214" t="s">
        <v>432</v>
      </c>
      <c r="C57" s="233">
        <f>'Dochody wg §'!H88</f>
        <v>96772</v>
      </c>
    </row>
    <row r="58" spans="1:3" ht="12.75" customHeight="1">
      <c r="A58" s="181">
        <v>7</v>
      </c>
      <c r="B58" s="223" t="s">
        <v>333</v>
      </c>
      <c r="C58" s="236">
        <f>C59+C62+C65+C66+C67+C68+C69+C70+C71+C72</f>
        <v>937255</v>
      </c>
    </row>
    <row r="59" spans="1:3" ht="12.75" customHeight="1">
      <c r="A59" s="177"/>
      <c r="B59" s="215" t="s">
        <v>334</v>
      </c>
      <c r="C59" s="237">
        <f>20000+650000</f>
        <v>670000</v>
      </c>
    </row>
    <row r="60" spans="1:3" ht="12.75" customHeight="1">
      <c r="A60" s="177"/>
      <c r="B60" s="215" t="s">
        <v>472</v>
      </c>
      <c r="C60" s="237"/>
    </row>
    <row r="61" spans="1:3" ht="12.75" customHeight="1">
      <c r="A61" s="177"/>
      <c r="B61" s="215" t="s">
        <v>473</v>
      </c>
      <c r="C61" s="237"/>
    </row>
    <row r="62" spans="1:3" ht="12.75" customHeight="1">
      <c r="A62" s="177"/>
      <c r="B62" s="215" t="s">
        <v>335</v>
      </c>
      <c r="C62" s="237">
        <f>'Dochody wg §'!H5</f>
        <v>10000</v>
      </c>
    </row>
    <row r="63" spans="1:3" ht="12.75" customHeight="1">
      <c r="A63" s="177"/>
      <c r="B63" s="215" t="s">
        <v>431</v>
      </c>
      <c r="C63" s="237"/>
    </row>
    <row r="64" spans="1:3" ht="12.75" customHeight="1">
      <c r="A64" s="177"/>
      <c r="B64" s="215" t="s">
        <v>336</v>
      </c>
      <c r="C64" s="237"/>
    </row>
    <row r="65" spans="1:3" ht="12.75" customHeight="1">
      <c r="A65" s="177"/>
      <c r="B65" s="215" t="s">
        <v>433</v>
      </c>
      <c r="C65" s="237">
        <f>'Dochody wg §'!H23</f>
        <v>18000</v>
      </c>
    </row>
    <row r="66" spans="1:3" ht="12.75" customHeight="1">
      <c r="A66" s="177"/>
      <c r="B66" s="215" t="s">
        <v>337</v>
      </c>
      <c r="C66" s="237">
        <f>'Dochody wg §'!H29</f>
        <v>18000</v>
      </c>
    </row>
    <row r="67" spans="1:3" ht="12.75" customHeight="1">
      <c r="A67" s="177"/>
      <c r="B67" s="215" t="s">
        <v>338</v>
      </c>
      <c r="C67" s="237">
        <f>'Dochody wg §'!H66</f>
        <v>180000</v>
      </c>
    </row>
    <row r="68" spans="1:3" ht="12.75" customHeight="1">
      <c r="A68" s="184"/>
      <c r="B68" s="224" t="s">
        <v>339</v>
      </c>
      <c r="C68" s="237">
        <f>'Dochody wg §'!H112</f>
        <v>2000</v>
      </c>
    </row>
    <row r="69" spans="1:3" ht="12.75" customHeight="1">
      <c r="A69" s="184"/>
      <c r="B69" s="224" t="s">
        <v>340</v>
      </c>
      <c r="C69" s="237">
        <f>'Dochody wg §'!H31</f>
        <v>15000</v>
      </c>
    </row>
    <row r="70" spans="1:3" ht="12.75" customHeight="1">
      <c r="A70" s="184"/>
      <c r="B70" s="225" t="s">
        <v>341</v>
      </c>
      <c r="C70" s="237">
        <f>'Dochody wg §'!H51+'Dochody wg §'!H62</f>
        <v>15000</v>
      </c>
    </row>
    <row r="71" spans="1:3" ht="12.75" customHeight="1">
      <c r="A71" s="184"/>
      <c r="B71" s="224" t="s">
        <v>342</v>
      </c>
      <c r="C71" s="237">
        <f>'Dochody wg §'!H77</f>
        <v>6000</v>
      </c>
    </row>
    <row r="72" spans="1:3" ht="31.5" customHeight="1">
      <c r="A72" s="186"/>
      <c r="B72" s="226" t="s">
        <v>343</v>
      </c>
      <c r="C72" s="238">
        <f>'Dochody wg §'!H26+'Dochody wg §'!H87+'Dochody wg §'!H102</f>
        <v>3255</v>
      </c>
    </row>
    <row r="73" spans="1:3" ht="12.75" customHeight="1">
      <c r="A73" s="285"/>
      <c r="B73" s="286" t="s">
        <v>12</v>
      </c>
      <c r="C73" s="265">
        <f>C58+C50+C46+C42+C41+C38+C25</f>
        <v>37808141.51</v>
      </c>
    </row>
    <row r="74" ht="12.75" customHeight="1">
      <c r="B74" s="228"/>
    </row>
    <row r="75" spans="2:3" ht="12.75" customHeight="1">
      <c r="B75" s="228"/>
      <c r="C75" s="239"/>
    </row>
    <row r="76" ht="12.75" customHeight="1">
      <c r="B76" s="228"/>
    </row>
    <row r="77" ht="12.75" customHeight="1">
      <c r="B77" s="228"/>
    </row>
    <row r="78" ht="12.75" customHeight="1">
      <c r="B78" s="228"/>
    </row>
    <row r="79" ht="12.75" customHeight="1">
      <c r="B79" s="228"/>
    </row>
    <row r="80" ht="12.75" customHeight="1">
      <c r="B80" s="228"/>
    </row>
    <row r="81" ht="12.75" customHeight="1">
      <c r="B81" s="228"/>
    </row>
    <row r="82" ht="12.75" customHeight="1">
      <c r="B82" s="228"/>
    </row>
    <row r="83" ht="12.75" customHeight="1">
      <c r="B83" s="228"/>
    </row>
    <row r="84" ht="12.75" customHeight="1">
      <c r="B84" s="228"/>
    </row>
  </sheetData>
  <mergeCells count="4">
    <mergeCell ref="A2:C2"/>
    <mergeCell ref="A1:C1"/>
    <mergeCell ref="A22:C22"/>
    <mergeCell ref="A21:C21"/>
  </mergeCells>
  <printOptions/>
  <pageMargins left="0.85" right="0.36" top="0.6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showGridLines="0" workbookViewId="0" topLeftCell="A33">
      <selection activeCell="A4" sqref="A4:C70"/>
    </sheetView>
  </sheetViews>
  <sheetFormatPr defaultColWidth="9.00390625" defaultRowHeight="12.75" customHeight="1"/>
  <cols>
    <col min="1" max="1" width="6.75390625" style="68" customWidth="1"/>
    <col min="2" max="2" width="53.75390625" style="68" customWidth="1"/>
    <col min="3" max="3" width="14.00390625" style="253" customWidth="1"/>
    <col min="4" max="6" width="9.125" style="169" customWidth="1"/>
    <col min="7" max="7" width="13.375" style="169" bestFit="1" customWidth="1"/>
    <col min="8" max="16384" width="9.125" style="169" customWidth="1"/>
  </cols>
  <sheetData>
    <row r="1" spans="1:3" ht="12.75" customHeight="1">
      <c r="A1" s="498" t="s">
        <v>158</v>
      </c>
      <c r="B1" s="498"/>
      <c r="C1" s="498"/>
    </row>
    <row r="2" spans="1:3" ht="12.75" customHeight="1">
      <c r="A2" s="499" t="s">
        <v>377</v>
      </c>
      <c r="B2" s="499"/>
      <c r="C2" s="499"/>
    </row>
    <row r="3" spans="1:3" ht="12.75" customHeight="1">
      <c r="A3" s="99"/>
      <c r="B3" s="99"/>
      <c r="C3" s="240"/>
    </row>
    <row r="4" spans="1:3" s="93" customFormat="1" ht="12.75" customHeight="1">
      <c r="A4" s="269" t="s">
        <v>22</v>
      </c>
      <c r="B4" s="270" t="s">
        <v>57</v>
      </c>
      <c r="C4" s="265" t="s">
        <v>322</v>
      </c>
    </row>
    <row r="5" spans="1:3" s="94" customFormat="1" ht="12.75" customHeight="1">
      <c r="A5" s="80">
        <v>400</v>
      </c>
      <c r="B5" s="29" t="s">
        <v>84</v>
      </c>
      <c r="C5" s="232">
        <f>C6</f>
        <v>42000</v>
      </c>
    </row>
    <row r="6" spans="1:3" ht="12.75" customHeight="1">
      <c r="A6" s="75">
        <v>40002</v>
      </c>
      <c r="B6" s="32" t="s">
        <v>107</v>
      </c>
      <c r="C6" s="243">
        <f>C7</f>
        <v>42000</v>
      </c>
    </row>
    <row r="7" spans="1:3" ht="12.75" customHeight="1">
      <c r="A7" s="75"/>
      <c r="B7" s="32" t="s">
        <v>57</v>
      </c>
      <c r="C7" s="243">
        <f>C8</f>
        <v>42000</v>
      </c>
    </row>
    <row r="8" spans="1:3" ht="12.75" customHeight="1">
      <c r="A8" s="81"/>
      <c r="B8" s="96" t="s">
        <v>238</v>
      </c>
      <c r="C8" s="241">
        <v>42000</v>
      </c>
    </row>
    <row r="9" spans="1:3" s="94" customFormat="1" ht="12.75" customHeight="1">
      <c r="A9" s="29">
        <v>600</v>
      </c>
      <c r="B9" s="29" t="s">
        <v>4</v>
      </c>
      <c r="C9" s="232">
        <f>C10+C13</f>
        <v>890000</v>
      </c>
    </row>
    <row r="10" spans="1:3" s="94" customFormat="1" ht="12.75" customHeight="1">
      <c r="A10" s="191">
        <v>60013</v>
      </c>
      <c r="B10" s="191" t="s">
        <v>351</v>
      </c>
      <c r="C10" s="254">
        <f>C11</f>
        <v>50000</v>
      </c>
    </row>
    <row r="11" spans="1:3" s="94" customFormat="1" ht="12.75" customHeight="1">
      <c r="A11" s="362"/>
      <c r="B11" s="191" t="s">
        <v>483</v>
      </c>
      <c r="C11" s="254">
        <v>50000</v>
      </c>
    </row>
    <row r="12" spans="1:3" s="94" customFormat="1" ht="12.75" customHeight="1">
      <c r="A12" s="362"/>
      <c r="B12" s="191" t="s">
        <v>501</v>
      </c>
      <c r="C12" s="254">
        <v>50000</v>
      </c>
    </row>
    <row r="13" spans="1:3" ht="12.75" customHeight="1">
      <c r="A13" s="32">
        <v>60016</v>
      </c>
      <c r="B13" s="32" t="s">
        <v>29</v>
      </c>
      <c r="C13" s="233">
        <f>C14</f>
        <v>840000</v>
      </c>
    </row>
    <row r="14" spans="1:3" ht="12.75" customHeight="1">
      <c r="A14" s="32"/>
      <c r="B14" s="32" t="s">
        <v>57</v>
      </c>
      <c r="C14" s="243">
        <f>C15+C18+C24+C23+C21+C22+C16+C17+C19+C20</f>
        <v>840000</v>
      </c>
    </row>
    <row r="15" spans="1:3" ht="12.75" customHeight="1">
      <c r="A15" s="191"/>
      <c r="B15" s="191" t="s">
        <v>151</v>
      </c>
      <c r="C15" s="363">
        <v>50000</v>
      </c>
    </row>
    <row r="16" spans="1:3" ht="26.25" customHeight="1">
      <c r="A16" s="191"/>
      <c r="B16" s="64" t="s">
        <v>505</v>
      </c>
      <c r="C16" s="363">
        <f>80000+100000</f>
        <v>180000</v>
      </c>
    </row>
    <row r="17" spans="1:3" ht="26.25" customHeight="1">
      <c r="A17" s="191"/>
      <c r="B17" s="64" t="s">
        <v>464</v>
      </c>
      <c r="C17" s="363">
        <f>100000+15000+30000</f>
        <v>145000</v>
      </c>
    </row>
    <row r="18" spans="1:3" ht="12.75" customHeight="1">
      <c r="A18" s="191"/>
      <c r="B18" s="191" t="s">
        <v>249</v>
      </c>
      <c r="C18" s="363">
        <v>100000</v>
      </c>
    </row>
    <row r="19" spans="1:3" ht="12.75" customHeight="1">
      <c r="A19" s="188"/>
      <c r="B19" s="191" t="s">
        <v>502</v>
      </c>
      <c r="C19" s="363">
        <v>50000</v>
      </c>
    </row>
    <row r="20" spans="1:3" ht="12.75" customHeight="1">
      <c r="A20" s="188"/>
      <c r="B20" s="191" t="s">
        <v>471</v>
      </c>
      <c r="C20" s="363">
        <v>50000</v>
      </c>
    </row>
    <row r="21" spans="1:3" ht="12.75" customHeight="1">
      <c r="A21" s="75"/>
      <c r="B21" s="79" t="s">
        <v>353</v>
      </c>
      <c r="C21" s="243">
        <v>50000</v>
      </c>
    </row>
    <row r="22" spans="1:3" ht="12.75" customHeight="1">
      <c r="A22" s="75"/>
      <c r="B22" s="79" t="s">
        <v>352</v>
      </c>
      <c r="C22" s="243">
        <v>40000</v>
      </c>
    </row>
    <row r="23" spans="1:3" ht="12.75" customHeight="1">
      <c r="A23" s="75"/>
      <c r="B23" s="79" t="s">
        <v>250</v>
      </c>
      <c r="C23" s="243">
        <f>50000+25000</f>
        <v>75000</v>
      </c>
    </row>
    <row r="24" spans="1:3" ht="12.75" customHeight="1">
      <c r="A24" s="32"/>
      <c r="B24" s="32" t="s">
        <v>152</v>
      </c>
      <c r="C24" s="243">
        <v>100000</v>
      </c>
    </row>
    <row r="25" spans="1:3" s="94" customFormat="1" ht="12.75" customHeight="1">
      <c r="A25" s="80">
        <v>700</v>
      </c>
      <c r="B25" s="29" t="s">
        <v>6</v>
      </c>
      <c r="C25" s="236">
        <f>C26</f>
        <v>210000</v>
      </c>
    </row>
    <row r="26" spans="1:3" ht="12.75" customHeight="1">
      <c r="A26" s="75">
        <v>70005</v>
      </c>
      <c r="B26" s="32" t="s">
        <v>31</v>
      </c>
      <c r="C26" s="237">
        <f>C27</f>
        <v>210000</v>
      </c>
    </row>
    <row r="27" spans="1:3" ht="12.75" customHeight="1">
      <c r="A27" s="75"/>
      <c r="B27" s="191" t="s">
        <v>57</v>
      </c>
      <c r="C27" s="247">
        <f>C28+C29+C30</f>
        <v>210000</v>
      </c>
    </row>
    <row r="28" spans="1:3" ht="12.75" customHeight="1">
      <c r="A28" s="75"/>
      <c r="B28" s="191" t="s">
        <v>498</v>
      </c>
      <c r="C28" s="247">
        <v>30000</v>
      </c>
    </row>
    <row r="29" spans="1:3" ht="12.75" customHeight="1">
      <c r="A29" s="75"/>
      <c r="B29" s="32" t="s">
        <v>468</v>
      </c>
      <c r="C29" s="244">
        <v>80000</v>
      </c>
    </row>
    <row r="30" spans="1:3" ht="12.75" customHeight="1">
      <c r="A30" s="75"/>
      <c r="B30" s="32" t="s">
        <v>500</v>
      </c>
      <c r="C30" s="244">
        <v>100000</v>
      </c>
    </row>
    <row r="31" spans="1:3" s="94" customFormat="1" ht="12.75" customHeight="1">
      <c r="A31" s="80">
        <v>710</v>
      </c>
      <c r="B31" s="29" t="s">
        <v>32</v>
      </c>
      <c r="C31" s="236">
        <f>C32</f>
        <v>50000</v>
      </c>
    </row>
    <row r="32" spans="1:3" ht="12.75" customHeight="1">
      <c r="A32" s="75">
        <v>71035</v>
      </c>
      <c r="B32" s="32" t="s">
        <v>33</v>
      </c>
      <c r="C32" s="237">
        <f>C33</f>
        <v>50000</v>
      </c>
    </row>
    <row r="33" spans="1:3" ht="12.75" customHeight="1">
      <c r="A33" s="75"/>
      <c r="B33" s="32" t="s">
        <v>57</v>
      </c>
      <c r="C33" s="244">
        <f>C34</f>
        <v>50000</v>
      </c>
    </row>
    <row r="34" spans="1:3" ht="12.75" customHeight="1">
      <c r="A34" s="81"/>
      <c r="B34" s="96" t="s">
        <v>154</v>
      </c>
      <c r="C34" s="246">
        <v>50000</v>
      </c>
    </row>
    <row r="35" spans="1:3" s="94" customFormat="1" ht="12.75" customHeight="1">
      <c r="A35" s="76">
        <v>750</v>
      </c>
      <c r="B35" s="107" t="s">
        <v>7</v>
      </c>
      <c r="C35" s="242">
        <f>C36</f>
        <v>150000</v>
      </c>
    </row>
    <row r="36" spans="1:3" ht="12.75" customHeight="1">
      <c r="A36" s="77">
        <v>75023</v>
      </c>
      <c r="B36" s="108" t="s">
        <v>36</v>
      </c>
      <c r="C36" s="233">
        <f>C37</f>
        <v>150000</v>
      </c>
    </row>
    <row r="37" spans="1:3" ht="12.75" customHeight="1">
      <c r="A37" s="77"/>
      <c r="B37" s="108" t="s">
        <v>57</v>
      </c>
      <c r="C37" s="243">
        <f>C38+C39</f>
        <v>150000</v>
      </c>
    </row>
    <row r="38" spans="1:3" ht="12.75" customHeight="1">
      <c r="A38" s="77"/>
      <c r="B38" s="108" t="s">
        <v>239</v>
      </c>
      <c r="C38" s="243">
        <v>50000</v>
      </c>
    </row>
    <row r="39" spans="1:3" ht="12.75" customHeight="1">
      <c r="A39" s="77"/>
      <c r="B39" s="108" t="s">
        <v>240</v>
      </c>
      <c r="C39" s="243">
        <v>100000</v>
      </c>
    </row>
    <row r="40" spans="1:3" s="94" customFormat="1" ht="12.75" customHeight="1">
      <c r="A40" s="80">
        <v>754</v>
      </c>
      <c r="B40" s="29" t="s">
        <v>38</v>
      </c>
      <c r="C40" s="236">
        <f>C41</f>
        <v>5000</v>
      </c>
    </row>
    <row r="41" spans="1:3" ht="12.75" customHeight="1">
      <c r="A41" s="75">
        <v>75412</v>
      </c>
      <c r="B41" s="32" t="s">
        <v>39</v>
      </c>
      <c r="C41" s="237">
        <f>C42</f>
        <v>5000</v>
      </c>
    </row>
    <row r="42" spans="1:3" ht="12.75" customHeight="1">
      <c r="A42" s="75"/>
      <c r="B42" s="32" t="s">
        <v>57</v>
      </c>
      <c r="C42" s="244">
        <f>C43</f>
        <v>5000</v>
      </c>
    </row>
    <row r="43" spans="1:3" ht="12.75" customHeight="1">
      <c r="A43" s="81"/>
      <c r="B43" s="96" t="s">
        <v>239</v>
      </c>
      <c r="C43" s="246">
        <v>5000</v>
      </c>
    </row>
    <row r="44" spans="1:3" s="94" customFormat="1" ht="12.75" customHeight="1">
      <c r="A44" s="80">
        <v>801</v>
      </c>
      <c r="B44" s="29" t="s">
        <v>9</v>
      </c>
      <c r="C44" s="236">
        <f>C45</f>
        <v>2829686.8</v>
      </c>
    </row>
    <row r="45" spans="1:3" ht="12.75" customHeight="1">
      <c r="A45" s="75">
        <v>80101</v>
      </c>
      <c r="B45" s="32" t="s">
        <v>43</v>
      </c>
      <c r="C45" s="237">
        <f>C46</f>
        <v>2829686.8</v>
      </c>
    </row>
    <row r="46" spans="1:3" ht="12.75" customHeight="1">
      <c r="A46" s="188"/>
      <c r="B46" s="191" t="s">
        <v>57</v>
      </c>
      <c r="C46" s="247">
        <f>C49+C50+C47+C48+C51</f>
        <v>2829686.8</v>
      </c>
    </row>
    <row r="47" spans="1:3" ht="12.75" customHeight="1">
      <c r="A47" s="188"/>
      <c r="B47" s="32" t="s">
        <v>314</v>
      </c>
      <c r="C47" s="247">
        <v>17000</v>
      </c>
    </row>
    <row r="48" spans="1:3" ht="12.75" customHeight="1">
      <c r="A48" s="188"/>
      <c r="B48" s="32" t="s">
        <v>481</v>
      </c>
      <c r="C48" s="247">
        <v>5000</v>
      </c>
    </row>
    <row r="49" spans="1:3" ht="12.75" customHeight="1">
      <c r="A49" s="188"/>
      <c r="B49" s="191" t="s">
        <v>421</v>
      </c>
      <c r="C49" s="247">
        <v>70000</v>
      </c>
    </row>
    <row r="50" spans="1:3" ht="25.5" customHeight="1">
      <c r="A50" s="75"/>
      <c r="B50" s="32" t="s">
        <v>315</v>
      </c>
      <c r="C50" s="244">
        <v>410653.8</v>
      </c>
    </row>
    <row r="51" spans="1:3" ht="12.75" customHeight="1">
      <c r="A51" s="81"/>
      <c r="B51" s="96"/>
      <c r="C51" s="246">
        <v>2327033</v>
      </c>
    </row>
    <row r="52" spans="1:3" ht="12.75" customHeight="1">
      <c r="A52" s="80">
        <v>900</v>
      </c>
      <c r="B52" s="29" t="s">
        <v>10</v>
      </c>
      <c r="C52" s="231">
        <f>C53+C56+C59</f>
        <v>4016664.5300000003</v>
      </c>
    </row>
    <row r="53" spans="1:3" ht="12.75" customHeight="1">
      <c r="A53" s="75">
        <v>90001</v>
      </c>
      <c r="B53" s="32" t="s">
        <v>56</v>
      </c>
      <c r="C53" s="250">
        <f>C54</f>
        <v>60000</v>
      </c>
    </row>
    <row r="54" spans="1:3" ht="12.75" customHeight="1">
      <c r="A54" s="75"/>
      <c r="B54" s="32" t="s">
        <v>57</v>
      </c>
      <c r="C54" s="243">
        <f>C55</f>
        <v>60000</v>
      </c>
    </row>
    <row r="55" spans="1:3" ht="12.75" customHeight="1">
      <c r="A55" s="75"/>
      <c r="B55" s="191" t="s">
        <v>486</v>
      </c>
      <c r="C55" s="363">
        <v>60000</v>
      </c>
    </row>
    <row r="56" spans="1:3" ht="12.75" customHeight="1">
      <c r="A56" s="86">
        <v>90002</v>
      </c>
      <c r="B56" s="79" t="s">
        <v>230</v>
      </c>
      <c r="C56" s="243">
        <f>C57</f>
        <v>3826664.5300000003</v>
      </c>
    </row>
    <row r="57" spans="1:3" ht="12.75" customHeight="1">
      <c r="A57" s="87"/>
      <c r="B57" s="79" t="s">
        <v>57</v>
      </c>
      <c r="C57" s="243">
        <f>C58</f>
        <v>3826664.5300000003</v>
      </c>
    </row>
    <row r="58" spans="1:3" ht="12.75" customHeight="1">
      <c r="A58" s="133"/>
      <c r="B58" s="96" t="s">
        <v>313</v>
      </c>
      <c r="C58" s="241">
        <f>4186000-354335.47-5000</f>
        <v>3826664.5300000003</v>
      </c>
    </row>
    <row r="59" spans="1:3" ht="12.75" customHeight="1">
      <c r="A59" s="444">
        <v>90015</v>
      </c>
      <c r="B59" s="101" t="s">
        <v>60</v>
      </c>
      <c r="C59" s="463">
        <f>C60</f>
        <v>130000</v>
      </c>
    </row>
    <row r="60" spans="1:3" ht="12.75" customHeight="1">
      <c r="A60" s="75"/>
      <c r="B60" s="32" t="s">
        <v>57</v>
      </c>
      <c r="C60" s="243">
        <f>C61+C62+C63+C64</f>
        <v>130000</v>
      </c>
    </row>
    <row r="61" spans="1:3" ht="12.75" customHeight="1">
      <c r="A61" s="75"/>
      <c r="B61" s="32" t="s">
        <v>354</v>
      </c>
      <c r="C61" s="243">
        <f>30000+10000</f>
        <v>40000</v>
      </c>
    </row>
    <row r="62" spans="1:3" ht="12.75" customHeight="1">
      <c r="A62" s="75"/>
      <c r="B62" s="32" t="s">
        <v>355</v>
      </c>
      <c r="C62" s="243">
        <v>30000</v>
      </c>
    </row>
    <row r="63" spans="1:3" ht="12.75" customHeight="1">
      <c r="A63" s="75"/>
      <c r="B63" s="32" t="s">
        <v>356</v>
      </c>
      <c r="C63" s="243">
        <v>30000</v>
      </c>
    </row>
    <row r="64" spans="1:3" ht="12.75" customHeight="1">
      <c r="A64" s="81"/>
      <c r="B64" s="96" t="s">
        <v>357</v>
      </c>
      <c r="C64" s="241">
        <v>30000</v>
      </c>
    </row>
    <row r="65" spans="1:3" s="94" customFormat="1" ht="12.75" customHeight="1">
      <c r="A65" s="80">
        <v>926</v>
      </c>
      <c r="B65" s="29" t="s">
        <v>63</v>
      </c>
      <c r="C65" s="251">
        <f>C66</f>
        <v>63000</v>
      </c>
    </row>
    <row r="66" spans="1:3" ht="12.75" customHeight="1">
      <c r="A66" s="75">
        <v>92605</v>
      </c>
      <c r="B66" s="32" t="s">
        <v>145</v>
      </c>
      <c r="C66" s="252">
        <f>C67</f>
        <v>63000</v>
      </c>
    </row>
    <row r="67" spans="1:3" ht="12.75" customHeight="1">
      <c r="A67" s="75"/>
      <c r="B67" s="32" t="s">
        <v>57</v>
      </c>
      <c r="C67" s="244">
        <f>C68</f>
        <v>63000</v>
      </c>
    </row>
    <row r="68" spans="1:3" ht="12.75" customHeight="1">
      <c r="A68" s="75"/>
      <c r="B68" s="447" t="s">
        <v>470</v>
      </c>
      <c r="C68" s="247">
        <f>54000+9000</f>
        <v>63000</v>
      </c>
    </row>
    <row r="69" spans="1:3" ht="12.75" customHeight="1">
      <c r="A69" s="282"/>
      <c r="B69" s="283" t="s">
        <v>12</v>
      </c>
      <c r="C69" s="265">
        <f>C65+C52+C44+C40+C35+C31+C25+C9+C5</f>
        <v>8256351.33</v>
      </c>
    </row>
    <row r="70" ht="12.75" customHeight="1">
      <c r="C70" s="253">
        <f>C69-C51</f>
        <v>5929318.33</v>
      </c>
    </row>
  </sheetData>
  <mergeCells count="2">
    <mergeCell ref="A1:C1"/>
    <mergeCell ref="A2:C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1" manualBreakCount="1">
    <brk id="5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2"/>
  <sheetViews>
    <sheetView showGridLines="0" workbookViewId="0" topLeftCell="A1">
      <selection activeCell="F15" sqref="F15"/>
    </sheetView>
  </sheetViews>
  <sheetFormatPr defaultColWidth="9.00390625" defaultRowHeight="12.75" customHeight="1"/>
  <cols>
    <col min="1" max="1" width="6.75390625" style="68" customWidth="1"/>
    <col min="2" max="2" width="53.75390625" style="68" customWidth="1"/>
    <col min="3" max="3" width="14.00390625" style="253" customWidth="1"/>
    <col min="4" max="6" width="9.125" style="92" customWidth="1"/>
    <col min="7" max="7" width="13.375" style="92" bestFit="1" customWidth="1"/>
    <col min="8" max="16384" width="9.125" style="92" customWidth="1"/>
  </cols>
  <sheetData>
    <row r="1" spans="1:3" ht="12.75" customHeight="1">
      <c r="A1" s="498" t="s">
        <v>158</v>
      </c>
      <c r="B1" s="498"/>
      <c r="C1" s="498"/>
    </row>
    <row r="2" spans="1:3" ht="12.75" customHeight="1">
      <c r="A2" s="499" t="s">
        <v>377</v>
      </c>
      <c r="B2" s="499"/>
      <c r="C2" s="499"/>
    </row>
    <row r="3" spans="1:3" ht="12.75" customHeight="1">
      <c r="A3" s="99"/>
      <c r="B3" s="99"/>
      <c r="C3" s="240"/>
    </row>
    <row r="4" spans="1:3" s="93" customFormat="1" ht="12.75" customHeight="1">
      <c r="A4" s="269" t="s">
        <v>22</v>
      </c>
      <c r="B4" s="270" t="s">
        <v>2</v>
      </c>
      <c r="C4" s="265" t="s">
        <v>322</v>
      </c>
    </row>
    <row r="5" spans="1:3" s="94" customFormat="1" ht="12.75" customHeight="1">
      <c r="A5" s="69" t="s">
        <v>67</v>
      </c>
      <c r="B5" s="29" t="s">
        <v>23</v>
      </c>
      <c r="C5" s="232">
        <f>C6</f>
        <v>4500</v>
      </c>
    </row>
    <row r="6" spans="1:3" ht="12.75" customHeight="1">
      <c r="A6" s="70" t="s">
        <v>68</v>
      </c>
      <c r="B6" s="32" t="s">
        <v>25</v>
      </c>
      <c r="C6" s="233">
        <f>C7</f>
        <v>4500</v>
      </c>
    </row>
    <row r="7" spans="1:3" ht="12.75" customHeight="1">
      <c r="A7" s="71"/>
      <c r="B7" s="96" t="s">
        <v>153</v>
      </c>
      <c r="C7" s="241">
        <v>4500</v>
      </c>
    </row>
    <row r="8" spans="1:3" s="94" customFormat="1" ht="12.75" customHeight="1">
      <c r="A8" s="72" t="s">
        <v>69</v>
      </c>
      <c r="B8" s="111" t="s">
        <v>3</v>
      </c>
      <c r="C8" s="242">
        <f>C9</f>
        <v>43000</v>
      </c>
    </row>
    <row r="9" spans="1:3" ht="12.75" customHeight="1">
      <c r="A9" s="73" t="s">
        <v>70</v>
      </c>
      <c r="B9" s="112" t="s">
        <v>26</v>
      </c>
      <c r="C9" s="233">
        <f>C10</f>
        <v>43000</v>
      </c>
    </row>
    <row r="10" spans="1:3" ht="12.75" customHeight="1">
      <c r="A10" s="73"/>
      <c r="B10" s="112" t="s">
        <v>71</v>
      </c>
      <c r="C10" s="233">
        <f>C11+C12</f>
        <v>43000</v>
      </c>
    </row>
    <row r="11" spans="1:3" ht="12.75" customHeight="1">
      <c r="A11" s="73"/>
      <c r="B11" s="112" t="s">
        <v>76</v>
      </c>
      <c r="C11" s="243">
        <v>18000</v>
      </c>
    </row>
    <row r="12" spans="1:3" ht="12.75" customHeight="1">
      <c r="A12" s="73"/>
      <c r="B12" s="112" t="s">
        <v>77</v>
      </c>
      <c r="C12" s="241">
        <v>25000</v>
      </c>
    </row>
    <row r="13" spans="1:3" s="94" customFormat="1" ht="12.75" customHeight="1">
      <c r="A13" s="80">
        <v>400</v>
      </c>
      <c r="B13" s="29" t="s">
        <v>84</v>
      </c>
      <c r="C13" s="232">
        <f>C18+C14</f>
        <v>323200</v>
      </c>
    </row>
    <row r="14" spans="1:3" ht="12.75" customHeight="1">
      <c r="A14" s="75">
        <v>40002</v>
      </c>
      <c r="B14" s="32" t="s">
        <v>107</v>
      </c>
      <c r="C14" s="243">
        <f>C15+C16</f>
        <v>319200</v>
      </c>
    </row>
    <row r="15" spans="1:3" ht="12.75" customHeight="1">
      <c r="A15" s="75"/>
      <c r="B15" s="32" t="s">
        <v>482</v>
      </c>
      <c r="C15" s="243">
        <v>277200</v>
      </c>
    </row>
    <row r="16" spans="1:3" ht="12.75" customHeight="1">
      <c r="A16" s="75"/>
      <c r="B16" s="32" t="s">
        <v>57</v>
      </c>
      <c r="C16" s="243">
        <f>C17</f>
        <v>42000</v>
      </c>
    </row>
    <row r="17" spans="1:3" ht="12.75" customHeight="1">
      <c r="A17" s="75"/>
      <c r="B17" s="32" t="s">
        <v>238</v>
      </c>
      <c r="C17" s="243">
        <v>42000</v>
      </c>
    </row>
    <row r="18" spans="1:3" ht="12.75" customHeight="1">
      <c r="A18" s="75">
        <v>40095</v>
      </c>
      <c r="B18" s="32" t="s">
        <v>27</v>
      </c>
      <c r="C18" s="243">
        <f>C19</f>
        <v>4000</v>
      </c>
    </row>
    <row r="19" spans="1:3" ht="12.75" customHeight="1">
      <c r="A19" s="81"/>
      <c r="B19" s="96" t="s">
        <v>24</v>
      </c>
      <c r="C19" s="241">
        <v>4000</v>
      </c>
    </row>
    <row r="20" spans="1:3" s="94" customFormat="1" ht="12.75" customHeight="1">
      <c r="A20" s="76">
        <v>500</v>
      </c>
      <c r="B20" s="111" t="s">
        <v>28</v>
      </c>
      <c r="C20" s="232">
        <f>C21</f>
        <v>41000</v>
      </c>
    </row>
    <row r="21" spans="1:3" ht="12.75" customHeight="1">
      <c r="A21" s="77">
        <v>50095</v>
      </c>
      <c r="B21" s="112" t="s">
        <v>27</v>
      </c>
      <c r="C21" s="233">
        <f>C22</f>
        <v>41000</v>
      </c>
    </row>
    <row r="22" spans="1:3" ht="12.75" customHeight="1">
      <c r="A22" s="77"/>
      <c r="B22" s="112" t="s">
        <v>71</v>
      </c>
      <c r="C22" s="233">
        <f>C23+C24</f>
        <v>41000</v>
      </c>
    </row>
    <row r="23" spans="1:3" ht="12.75" customHeight="1">
      <c r="A23" s="77"/>
      <c r="B23" s="112" t="s">
        <v>76</v>
      </c>
      <c r="C23" s="233">
        <v>22000</v>
      </c>
    </row>
    <row r="24" spans="1:3" ht="12.75" customHeight="1">
      <c r="A24" s="77"/>
      <c r="B24" s="112" t="s">
        <v>77</v>
      </c>
      <c r="C24" s="243">
        <f>41000-C23</f>
        <v>19000</v>
      </c>
    </row>
    <row r="25" spans="1:3" s="94" customFormat="1" ht="12.75" customHeight="1">
      <c r="A25" s="29">
        <v>600</v>
      </c>
      <c r="B25" s="29" t="s">
        <v>4</v>
      </c>
      <c r="C25" s="232">
        <f>C26+C29</f>
        <v>1190000</v>
      </c>
    </row>
    <row r="26" spans="1:3" s="94" customFormat="1" ht="12.75" customHeight="1">
      <c r="A26" s="191">
        <v>60013</v>
      </c>
      <c r="B26" s="191" t="s">
        <v>351</v>
      </c>
      <c r="C26" s="254">
        <f>C27</f>
        <v>50000</v>
      </c>
    </row>
    <row r="27" spans="1:3" s="94" customFormat="1" ht="12.75" customHeight="1">
      <c r="A27" s="362"/>
      <c r="B27" s="191" t="s">
        <v>483</v>
      </c>
      <c r="C27" s="254">
        <v>50000</v>
      </c>
    </row>
    <row r="28" spans="1:3" s="94" customFormat="1" ht="12.75" customHeight="1">
      <c r="A28" s="362"/>
      <c r="B28" s="191" t="s">
        <v>501</v>
      </c>
      <c r="C28" s="254">
        <v>50000</v>
      </c>
    </row>
    <row r="29" spans="1:3" ht="12.75" customHeight="1">
      <c r="A29" s="32">
        <v>60016</v>
      </c>
      <c r="B29" s="32" t="s">
        <v>29</v>
      </c>
      <c r="C29" s="233">
        <f>C30+C31</f>
        <v>1140000</v>
      </c>
    </row>
    <row r="30" spans="1:3" ht="12.75" customHeight="1">
      <c r="A30" s="32"/>
      <c r="B30" s="32" t="s">
        <v>24</v>
      </c>
      <c r="C30" s="243">
        <f>200000+100000</f>
        <v>300000</v>
      </c>
    </row>
    <row r="31" spans="1:3" ht="12.75" customHeight="1">
      <c r="A31" s="32"/>
      <c r="B31" s="32" t="s">
        <v>57</v>
      </c>
      <c r="C31" s="243">
        <f>C32+C35+C41+C40+C38+C39+C33+C34+C36+C37</f>
        <v>840000</v>
      </c>
    </row>
    <row r="32" spans="1:3" ht="12.75" customHeight="1">
      <c r="A32" s="191"/>
      <c r="B32" s="191" t="s">
        <v>151</v>
      </c>
      <c r="C32" s="363">
        <f>50000</f>
        <v>50000</v>
      </c>
    </row>
    <row r="33" spans="1:3" ht="25.5" customHeight="1">
      <c r="A33" s="191"/>
      <c r="B33" s="64" t="s">
        <v>505</v>
      </c>
      <c r="C33" s="363">
        <f>80000+100000</f>
        <v>180000</v>
      </c>
    </row>
    <row r="34" spans="1:3" ht="24.75" customHeight="1">
      <c r="A34" s="191"/>
      <c r="B34" s="64" t="s">
        <v>464</v>
      </c>
      <c r="C34" s="363">
        <f>100000+15000+30000</f>
        <v>145000</v>
      </c>
    </row>
    <row r="35" spans="1:3" ht="12.75" customHeight="1">
      <c r="A35" s="191"/>
      <c r="B35" s="191" t="s">
        <v>249</v>
      </c>
      <c r="C35" s="363">
        <v>100000</v>
      </c>
    </row>
    <row r="36" spans="1:3" ht="12.75" customHeight="1">
      <c r="A36" s="188"/>
      <c r="B36" s="191" t="s">
        <v>502</v>
      </c>
      <c r="C36" s="363">
        <v>50000</v>
      </c>
    </row>
    <row r="37" spans="1:3" ht="12.75" customHeight="1">
      <c r="A37" s="188"/>
      <c r="B37" s="191" t="s">
        <v>471</v>
      </c>
      <c r="C37" s="363">
        <v>50000</v>
      </c>
    </row>
    <row r="38" spans="1:3" ht="12.75" customHeight="1">
      <c r="A38" s="75"/>
      <c r="B38" s="79" t="s">
        <v>353</v>
      </c>
      <c r="C38" s="243">
        <v>50000</v>
      </c>
    </row>
    <row r="39" spans="1:3" ht="12.75" customHeight="1">
      <c r="A39" s="75"/>
      <c r="B39" s="79" t="s">
        <v>352</v>
      </c>
      <c r="C39" s="243">
        <v>40000</v>
      </c>
    </row>
    <row r="40" spans="1:3" ht="12.75" customHeight="1">
      <c r="A40" s="75"/>
      <c r="B40" s="79" t="s">
        <v>250</v>
      </c>
      <c r="C40" s="243">
        <f>50000+25000</f>
        <v>75000</v>
      </c>
    </row>
    <row r="41" spans="1:3" ht="12.75" customHeight="1">
      <c r="A41" s="32"/>
      <c r="B41" s="32" t="s">
        <v>152</v>
      </c>
      <c r="C41" s="243">
        <v>100000</v>
      </c>
    </row>
    <row r="42" spans="1:3" s="94" customFormat="1" ht="12.75" customHeight="1">
      <c r="A42" s="29">
        <v>630</v>
      </c>
      <c r="B42" s="109" t="s">
        <v>5</v>
      </c>
      <c r="C42" s="232">
        <f>C43</f>
        <v>105000</v>
      </c>
    </row>
    <row r="43" spans="1:3" ht="12.75" customHeight="1">
      <c r="A43" s="32">
        <v>63001</v>
      </c>
      <c r="B43" s="108" t="s">
        <v>30</v>
      </c>
      <c r="C43" s="233">
        <f>C44</f>
        <v>105000</v>
      </c>
    </row>
    <row r="44" spans="1:3" ht="12.75" customHeight="1">
      <c r="A44" s="79"/>
      <c r="B44" s="108" t="s">
        <v>24</v>
      </c>
      <c r="C44" s="233">
        <f>C45+C46</f>
        <v>105000</v>
      </c>
    </row>
    <row r="45" spans="1:3" ht="12.75" customHeight="1">
      <c r="A45" s="32"/>
      <c r="B45" s="108" t="s">
        <v>78</v>
      </c>
      <c r="C45" s="243">
        <v>69000</v>
      </c>
    </row>
    <row r="46" spans="1:3" ht="12.75" customHeight="1">
      <c r="A46" s="32"/>
      <c r="B46" s="108" t="s">
        <v>77</v>
      </c>
      <c r="C46" s="243">
        <v>36000</v>
      </c>
    </row>
    <row r="47" spans="1:3" s="94" customFormat="1" ht="12.75" customHeight="1">
      <c r="A47" s="80">
        <v>700</v>
      </c>
      <c r="B47" s="29" t="s">
        <v>6</v>
      </c>
      <c r="C47" s="236">
        <f>C50+C48</f>
        <v>388492</v>
      </c>
    </row>
    <row r="48" spans="1:3" ht="12.75" customHeight="1">
      <c r="A48" s="75">
        <v>70004</v>
      </c>
      <c r="B48" s="79" t="s">
        <v>159</v>
      </c>
      <c r="C48" s="237">
        <f>C49</f>
        <v>48492</v>
      </c>
    </row>
    <row r="49" spans="1:3" ht="12.75" customHeight="1">
      <c r="A49" s="75"/>
      <c r="B49" s="32" t="s">
        <v>482</v>
      </c>
      <c r="C49" s="237">
        <v>48492</v>
      </c>
    </row>
    <row r="50" spans="1:3" ht="12.75" customHeight="1">
      <c r="A50" s="75">
        <v>70005</v>
      </c>
      <c r="B50" s="32" t="s">
        <v>31</v>
      </c>
      <c r="C50" s="237">
        <f>C51+C52</f>
        <v>340000</v>
      </c>
    </row>
    <row r="51" spans="1:3" ht="12.75" customHeight="1">
      <c r="A51" s="75"/>
      <c r="B51" s="32" t="s">
        <v>24</v>
      </c>
      <c r="C51" s="244">
        <f>160000-30000</f>
        <v>130000</v>
      </c>
    </row>
    <row r="52" spans="1:3" ht="12.75" customHeight="1">
      <c r="A52" s="75"/>
      <c r="B52" s="191" t="s">
        <v>57</v>
      </c>
      <c r="C52" s="247">
        <f>C53+C54+C55</f>
        <v>210000</v>
      </c>
    </row>
    <row r="53" spans="1:3" ht="12.75" customHeight="1">
      <c r="A53" s="75"/>
      <c r="B53" s="191" t="s">
        <v>498</v>
      </c>
      <c r="C53" s="247">
        <v>30000</v>
      </c>
    </row>
    <row r="54" spans="1:3" ht="12.75" customHeight="1">
      <c r="A54" s="75"/>
      <c r="B54" s="32" t="s">
        <v>468</v>
      </c>
      <c r="C54" s="244">
        <v>80000</v>
      </c>
    </row>
    <row r="55" spans="1:3" ht="12.75" customHeight="1">
      <c r="A55" s="75"/>
      <c r="B55" s="32" t="s">
        <v>500</v>
      </c>
      <c r="C55" s="244">
        <v>100000</v>
      </c>
    </row>
    <row r="56" spans="1:3" s="94" customFormat="1" ht="12.75" customHeight="1">
      <c r="A56" s="80">
        <v>710</v>
      </c>
      <c r="B56" s="29" t="s">
        <v>32</v>
      </c>
      <c r="C56" s="232">
        <f>C59+C63+C57</f>
        <v>257000</v>
      </c>
    </row>
    <row r="57" spans="1:3" s="94" customFormat="1" ht="12.75" customHeight="1">
      <c r="A57" s="75">
        <v>71004</v>
      </c>
      <c r="B57" s="32" t="s">
        <v>173</v>
      </c>
      <c r="C57" s="233">
        <f>C58</f>
        <v>150000</v>
      </c>
    </row>
    <row r="58" spans="1:3" s="94" customFormat="1" ht="12.75" customHeight="1">
      <c r="A58" s="81"/>
      <c r="B58" s="96" t="str">
        <f>B67</f>
        <v>Wydatki bieżące</v>
      </c>
      <c r="C58" s="234">
        <v>150000</v>
      </c>
    </row>
    <row r="59" spans="1:3" ht="12.75" customHeight="1">
      <c r="A59" s="444">
        <v>71035</v>
      </c>
      <c r="B59" s="101" t="s">
        <v>33</v>
      </c>
      <c r="C59" s="449">
        <f>C60+C61</f>
        <v>80000</v>
      </c>
    </row>
    <row r="60" spans="1:3" ht="12.75" customHeight="1">
      <c r="A60" s="75"/>
      <c r="B60" s="32" t="s">
        <v>24</v>
      </c>
      <c r="C60" s="243">
        <v>30000</v>
      </c>
    </row>
    <row r="61" spans="1:3" ht="12.75" customHeight="1">
      <c r="A61" s="75"/>
      <c r="B61" s="32" t="s">
        <v>57</v>
      </c>
      <c r="C61" s="243">
        <f>C62</f>
        <v>50000</v>
      </c>
    </row>
    <row r="62" spans="1:3" ht="12.75" customHeight="1">
      <c r="A62" s="75"/>
      <c r="B62" s="32" t="s">
        <v>154</v>
      </c>
      <c r="C62" s="243">
        <v>50000</v>
      </c>
    </row>
    <row r="63" spans="1:3" ht="12.75" customHeight="1">
      <c r="A63" s="75">
        <v>71095</v>
      </c>
      <c r="B63" s="32" t="s">
        <v>27</v>
      </c>
      <c r="C63" s="233">
        <f>C64</f>
        <v>27000</v>
      </c>
    </row>
    <row r="64" spans="1:3" ht="12.75" customHeight="1">
      <c r="A64" s="81"/>
      <c r="B64" s="96" t="s">
        <v>24</v>
      </c>
      <c r="C64" s="241">
        <v>27000</v>
      </c>
    </row>
    <row r="65" spans="1:3" s="94" customFormat="1" ht="12.75" customHeight="1">
      <c r="A65" s="84">
        <v>750</v>
      </c>
      <c r="B65" s="109" t="s">
        <v>7</v>
      </c>
      <c r="C65" s="232">
        <f>C66+C70+C72+C79</f>
        <v>3020000</v>
      </c>
    </row>
    <row r="66" spans="1:3" ht="12.75" customHeight="1">
      <c r="A66" s="77">
        <v>75011</v>
      </c>
      <c r="B66" s="108" t="s">
        <v>34</v>
      </c>
      <c r="C66" s="233">
        <f>C67</f>
        <v>206000</v>
      </c>
    </row>
    <row r="67" spans="1:3" ht="12.75" customHeight="1">
      <c r="A67" s="77"/>
      <c r="B67" s="108" t="s">
        <v>24</v>
      </c>
      <c r="C67" s="233">
        <f>C68+C69</f>
        <v>206000</v>
      </c>
    </row>
    <row r="68" spans="1:3" ht="12.75" customHeight="1">
      <c r="A68" s="77"/>
      <c r="B68" s="108" t="s">
        <v>72</v>
      </c>
      <c r="C68" s="243">
        <v>165000</v>
      </c>
    </row>
    <row r="69" spans="1:3" ht="12.75" customHeight="1">
      <c r="A69" s="77"/>
      <c r="B69" s="108" t="s">
        <v>73</v>
      </c>
      <c r="C69" s="243">
        <v>41000</v>
      </c>
    </row>
    <row r="70" spans="1:3" ht="12.75" customHeight="1">
      <c r="A70" s="77">
        <v>75022</v>
      </c>
      <c r="B70" s="108" t="s">
        <v>35</v>
      </c>
      <c r="C70" s="233">
        <f>C71</f>
        <v>120000</v>
      </c>
    </row>
    <row r="71" spans="1:3" ht="12.75" customHeight="1">
      <c r="A71" s="77"/>
      <c r="B71" s="108" t="s">
        <v>24</v>
      </c>
      <c r="C71" s="243">
        <v>120000</v>
      </c>
    </row>
    <row r="72" spans="1:3" ht="12.75" customHeight="1">
      <c r="A72" s="77">
        <v>75023</v>
      </c>
      <c r="B72" s="108" t="s">
        <v>36</v>
      </c>
      <c r="C72" s="233">
        <f>C73+C76</f>
        <v>2594000</v>
      </c>
    </row>
    <row r="73" spans="1:3" ht="12.75" customHeight="1">
      <c r="A73" s="77"/>
      <c r="B73" s="108" t="s">
        <v>24</v>
      </c>
      <c r="C73" s="233">
        <f>C74+C75</f>
        <v>2444000</v>
      </c>
    </row>
    <row r="74" spans="1:3" ht="12.75" customHeight="1">
      <c r="A74" s="77"/>
      <c r="B74" s="108" t="s">
        <v>72</v>
      </c>
      <c r="C74" s="243">
        <v>1794000</v>
      </c>
    </row>
    <row r="75" spans="1:3" ht="12.75" customHeight="1">
      <c r="A75" s="77"/>
      <c r="B75" s="108" t="s">
        <v>73</v>
      </c>
      <c r="C75" s="243">
        <f>650000</f>
        <v>650000</v>
      </c>
    </row>
    <row r="76" spans="1:3" ht="12.75" customHeight="1">
      <c r="A76" s="77"/>
      <c r="B76" s="108" t="s">
        <v>57</v>
      </c>
      <c r="C76" s="243">
        <f>C77+C78</f>
        <v>150000</v>
      </c>
    </row>
    <row r="77" spans="1:3" ht="12.75" customHeight="1">
      <c r="A77" s="77"/>
      <c r="B77" s="108" t="s">
        <v>239</v>
      </c>
      <c r="C77" s="243">
        <v>50000</v>
      </c>
    </row>
    <row r="78" spans="1:3" ht="12.75" customHeight="1">
      <c r="A78" s="77"/>
      <c r="B78" s="108" t="s">
        <v>240</v>
      </c>
      <c r="C78" s="243">
        <v>100000</v>
      </c>
    </row>
    <row r="79" spans="1:3" ht="12.75" customHeight="1">
      <c r="A79" s="77">
        <v>75095</v>
      </c>
      <c r="B79" s="108" t="s">
        <v>27</v>
      </c>
      <c r="C79" s="233">
        <f>C80</f>
        <v>100000</v>
      </c>
    </row>
    <row r="80" spans="1:3" ht="12.75" customHeight="1">
      <c r="A80" s="82"/>
      <c r="B80" s="110" t="s">
        <v>24</v>
      </c>
      <c r="C80" s="241">
        <v>100000</v>
      </c>
    </row>
    <row r="81" spans="1:3" s="94" customFormat="1" ht="12.75" customHeight="1">
      <c r="A81" s="80">
        <v>751</v>
      </c>
      <c r="B81" s="101" t="s">
        <v>271</v>
      </c>
      <c r="C81" s="236">
        <f>C82</f>
        <v>2866</v>
      </c>
    </row>
    <row r="82" spans="1:3" ht="12.75" customHeight="1">
      <c r="A82" s="75">
        <v>75101</v>
      </c>
      <c r="B82" s="32" t="s">
        <v>271</v>
      </c>
      <c r="C82" s="237">
        <f>C83</f>
        <v>2866</v>
      </c>
    </row>
    <row r="83" spans="1:3" ht="12.75" customHeight="1">
      <c r="A83" s="75"/>
      <c r="B83" s="32" t="s">
        <v>24</v>
      </c>
      <c r="C83" s="244">
        <f>C84</f>
        <v>2866</v>
      </c>
    </row>
    <row r="84" spans="1:3" ht="12.75" customHeight="1">
      <c r="A84" s="81"/>
      <c r="B84" s="96" t="s">
        <v>72</v>
      </c>
      <c r="C84" s="238">
        <v>2866</v>
      </c>
    </row>
    <row r="85" spans="1:3" s="94" customFormat="1" ht="12.75" customHeight="1">
      <c r="A85" s="438">
        <v>754</v>
      </c>
      <c r="B85" s="29" t="s">
        <v>38</v>
      </c>
      <c r="C85" s="439">
        <f>C86</f>
        <v>115000</v>
      </c>
    </row>
    <row r="86" spans="1:3" ht="12.75" customHeight="1">
      <c r="A86" s="75">
        <v>75412</v>
      </c>
      <c r="B86" s="32" t="s">
        <v>39</v>
      </c>
      <c r="C86" s="237">
        <f>C87+C90</f>
        <v>115000</v>
      </c>
    </row>
    <row r="87" spans="1:3" ht="12.75" customHeight="1">
      <c r="A87" s="75"/>
      <c r="B87" s="32" t="s">
        <v>85</v>
      </c>
      <c r="C87" s="244">
        <f>C88+C89</f>
        <v>110000</v>
      </c>
    </row>
    <row r="88" spans="1:3" ht="12.75" customHeight="1">
      <c r="A88" s="75"/>
      <c r="B88" s="32" t="s">
        <v>76</v>
      </c>
      <c r="C88" s="244">
        <v>41000</v>
      </c>
    </row>
    <row r="89" spans="1:3" ht="12.75" customHeight="1">
      <c r="A89" s="75"/>
      <c r="B89" s="32" t="s">
        <v>77</v>
      </c>
      <c r="C89" s="244">
        <f>74000-5000</f>
        <v>69000</v>
      </c>
    </row>
    <row r="90" spans="1:3" ht="12.75" customHeight="1">
      <c r="A90" s="75"/>
      <c r="B90" s="32" t="s">
        <v>57</v>
      </c>
      <c r="C90" s="244">
        <f>C91</f>
        <v>5000</v>
      </c>
    </row>
    <row r="91" spans="1:3" ht="12.75" customHeight="1">
      <c r="A91" s="75"/>
      <c r="B91" s="96" t="s">
        <v>239</v>
      </c>
      <c r="C91" s="244">
        <v>5000</v>
      </c>
    </row>
    <row r="92" spans="1:3" ht="24.75" customHeight="1">
      <c r="A92" s="80">
        <v>756</v>
      </c>
      <c r="B92" s="29" t="s">
        <v>374</v>
      </c>
      <c r="C92" s="245">
        <f>C93</f>
        <v>46000</v>
      </c>
    </row>
    <row r="93" spans="1:3" ht="12.75" customHeight="1">
      <c r="A93" s="75">
        <v>75647</v>
      </c>
      <c r="B93" s="32" t="s">
        <v>37</v>
      </c>
      <c r="C93" s="237">
        <f>C94</f>
        <v>46000</v>
      </c>
    </row>
    <row r="94" spans="1:3" ht="12.75" customHeight="1">
      <c r="A94" s="75"/>
      <c r="B94" s="32" t="s">
        <v>71</v>
      </c>
      <c r="C94" s="237">
        <f>C95+C96</f>
        <v>46000</v>
      </c>
    </row>
    <row r="95" spans="1:3" ht="12.75" customHeight="1">
      <c r="A95" s="75"/>
      <c r="B95" s="32" t="s">
        <v>76</v>
      </c>
      <c r="C95" s="237">
        <v>28000</v>
      </c>
    </row>
    <row r="96" spans="1:3" ht="12.75" customHeight="1">
      <c r="A96" s="81"/>
      <c r="B96" s="96" t="s">
        <v>77</v>
      </c>
      <c r="C96" s="246">
        <v>18000</v>
      </c>
    </row>
    <row r="97" spans="1:3" s="94" customFormat="1" ht="12.75" customHeight="1">
      <c r="A97" s="76">
        <v>757</v>
      </c>
      <c r="B97" s="111" t="s">
        <v>40</v>
      </c>
      <c r="C97" s="242">
        <f>C98</f>
        <v>420000</v>
      </c>
    </row>
    <row r="98" spans="1:3" ht="12.75" customHeight="1">
      <c r="A98" s="77">
        <v>75702</v>
      </c>
      <c r="B98" s="112" t="s">
        <v>86</v>
      </c>
      <c r="C98" s="233">
        <f>C99</f>
        <v>420000</v>
      </c>
    </row>
    <row r="99" spans="1:3" ht="12.75" customHeight="1">
      <c r="A99" s="82"/>
      <c r="B99" s="121" t="s">
        <v>64</v>
      </c>
      <c r="C99" s="241">
        <v>420000</v>
      </c>
    </row>
    <row r="100" spans="1:3" s="94" customFormat="1" ht="12.75" customHeight="1">
      <c r="A100" s="84">
        <v>758</v>
      </c>
      <c r="B100" s="120" t="s">
        <v>8</v>
      </c>
      <c r="C100" s="232">
        <f>C101</f>
        <v>150000</v>
      </c>
    </row>
    <row r="101" spans="1:3" ht="12.75" customHeight="1">
      <c r="A101" s="77">
        <v>75818</v>
      </c>
      <c r="B101" s="112" t="s">
        <v>41</v>
      </c>
      <c r="C101" s="233">
        <f>C102</f>
        <v>150000</v>
      </c>
    </row>
    <row r="102" spans="1:3" ht="12.75" customHeight="1">
      <c r="A102" s="77"/>
      <c r="B102" s="112" t="s">
        <v>42</v>
      </c>
      <c r="C102" s="243">
        <v>150000</v>
      </c>
    </row>
    <row r="103" spans="1:3" s="94" customFormat="1" ht="12.75" customHeight="1">
      <c r="A103" s="80">
        <v>801</v>
      </c>
      <c r="B103" s="29" t="s">
        <v>9</v>
      </c>
      <c r="C103" s="236">
        <f>C104+C117+C119+C123+C131+C127+C113</f>
        <v>15716100.8</v>
      </c>
    </row>
    <row r="104" spans="1:3" ht="12.75" customHeight="1">
      <c r="A104" s="75">
        <v>80101</v>
      </c>
      <c r="B104" s="32" t="s">
        <v>43</v>
      </c>
      <c r="C104" s="237">
        <f>C105+C108</f>
        <v>8913148.8</v>
      </c>
    </row>
    <row r="105" spans="1:3" ht="12.75" customHeight="1">
      <c r="A105" s="75"/>
      <c r="B105" s="32" t="s">
        <v>71</v>
      </c>
      <c r="C105" s="237">
        <f>C106+C107</f>
        <v>8410495</v>
      </c>
    </row>
    <row r="106" spans="1:3" ht="12.75" customHeight="1">
      <c r="A106" s="75"/>
      <c r="B106" s="32" t="s">
        <v>76</v>
      </c>
      <c r="C106" s="244">
        <f>6420125+200000</f>
        <v>6620125</v>
      </c>
    </row>
    <row r="107" spans="1:3" ht="12.75" customHeight="1">
      <c r="A107" s="75"/>
      <c r="B107" s="32" t="s">
        <v>77</v>
      </c>
      <c r="C107" s="244">
        <v>1790370</v>
      </c>
    </row>
    <row r="108" spans="1:3" ht="12.75" customHeight="1">
      <c r="A108" s="188"/>
      <c r="B108" s="191" t="s">
        <v>57</v>
      </c>
      <c r="C108" s="247">
        <f>C111+C112+C109+C110</f>
        <v>502653.8</v>
      </c>
    </row>
    <row r="109" spans="1:3" ht="12.75" customHeight="1">
      <c r="A109" s="188"/>
      <c r="B109" s="32" t="s">
        <v>314</v>
      </c>
      <c r="C109" s="247">
        <v>17000</v>
      </c>
    </row>
    <row r="110" spans="1:3" ht="12.75" customHeight="1">
      <c r="A110" s="188"/>
      <c r="B110" s="32" t="s">
        <v>481</v>
      </c>
      <c r="C110" s="247">
        <v>5000</v>
      </c>
    </row>
    <row r="111" spans="1:3" ht="12.75" customHeight="1">
      <c r="A111" s="188"/>
      <c r="B111" s="191" t="s">
        <v>421</v>
      </c>
      <c r="C111" s="247">
        <v>70000</v>
      </c>
    </row>
    <row r="112" spans="1:3" ht="25.5" customHeight="1">
      <c r="A112" s="75"/>
      <c r="B112" s="32" t="s">
        <v>315</v>
      </c>
      <c r="C112" s="244">
        <v>410653.8</v>
      </c>
    </row>
    <row r="113" spans="1:3" ht="12.75" customHeight="1">
      <c r="A113" s="75">
        <v>80103</v>
      </c>
      <c r="B113" s="32" t="s">
        <v>268</v>
      </c>
      <c r="C113" s="244">
        <f>C115+C116</f>
        <v>530600</v>
      </c>
    </row>
    <row r="114" spans="1:3" ht="12.75" customHeight="1">
      <c r="A114" s="75"/>
      <c r="B114" s="32" t="s">
        <v>71</v>
      </c>
      <c r="C114" s="244">
        <f>C115+C116</f>
        <v>530600</v>
      </c>
    </row>
    <row r="115" spans="1:3" ht="12.75" customHeight="1">
      <c r="A115" s="75"/>
      <c r="B115" s="32" t="s">
        <v>76</v>
      </c>
      <c r="C115" s="244">
        <v>409900</v>
      </c>
    </row>
    <row r="116" spans="1:3" ht="12.75" customHeight="1">
      <c r="A116" s="81"/>
      <c r="B116" s="96" t="s">
        <v>77</v>
      </c>
      <c r="C116" s="246">
        <v>120700</v>
      </c>
    </row>
    <row r="117" spans="1:3" ht="12.75" customHeight="1">
      <c r="A117" s="444">
        <v>80104</v>
      </c>
      <c r="B117" s="101" t="s">
        <v>251</v>
      </c>
      <c r="C117" s="450">
        <f>C118</f>
        <v>1152000</v>
      </c>
    </row>
    <row r="118" spans="1:3" ht="12.75" customHeight="1">
      <c r="A118" s="75"/>
      <c r="B118" s="32" t="s">
        <v>484</v>
      </c>
      <c r="C118" s="237">
        <v>1152000</v>
      </c>
    </row>
    <row r="119" spans="1:3" ht="12.75" customHeight="1">
      <c r="A119" s="75">
        <v>80110</v>
      </c>
      <c r="B119" s="32" t="s">
        <v>44</v>
      </c>
      <c r="C119" s="237">
        <f>C120</f>
        <v>3200595</v>
      </c>
    </row>
    <row r="120" spans="1:3" ht="12.75" customHeight="1">
      <c r="A120" s="75"/>
      <c r="B120" s="32" t="s">
        <v>24</v>
      </c>
      <c r="C120" s="237">
        <f>C121+C122</f>
        <v>3200595</v>
      </c>
    </row>
    <row r="121" spans="1:3" ht="12.75" customHeight="1">
      <c r="A121" s="75"/>
      <c r="B121" s="32" t="s">
        <v>76</v>
      </c>
      <c r="C121" s="244">
        <v>2657995</v>
      </c>
    </row>
    <row r="122" spans="1:3" ht="12.75" customHeight="1">
      <c r="A122" s="75"/>
      <c r="B122" s="32" t="s">
        <v>77</v>
      </c>
      <c r="C122" s="244">
        <v>542600</v>
      </c>
    </row>
    <row r="123" spans="1:3" ht="12.75" customHeight="1">
      <c r="A123" s="75">
        <v>80113</v>
      </c>
      <c r="B123" s="32" t="s">
        <v>45</v>
      </c>
      <c r="C123" s="237">
        <f>C124</f>
        <v>360850</v>
      </c>
    </row>
    <row r="124" spans="1:3" ht="12.75" customHeight="1">
      <c r="A124" s="75"/>
      <c r="B124" s="32" t="s">
        <v>24</v>
      </c>
      <c r="C124" s="237">
        <f>C125+C126</f>
        <v>360850</v>
      </c>
    </row>
    <row r="125" spans="1:3" ht="12.75" customHeight="1">
      <c r="A125" s="75"/>
      <c r="B125" s="32" t="s">
        <v>76</v>
      </c>
      <c r="C125" s="244">
        <v>56500</v>
      </c>
    </row>
    <row r="126" spans="1:3" ht="12.75" customHeight="1">
      <c r="A126" s="75"/>
      <c r="B126" s="32" t="s">
        <v>77</v>
      </c>
      <c r="C126" s="244">
        <v>304350</v>
      </c>
    </row>
    <row r="127" spans="1:3" ht="12.75" customHeight="1">
      <c r="A127" s="188">
        <v>80146</v>
      </c>
      <c r="B127" s="191" t="s">
        <v>89</v>
      </c>
      <c r="C127" s="247">
        <f>C128</f>
        <v>63907</v>
      </c>
    </row>
    <row r="128" spans="1:3" ht="12.75" customHeight="1">
      <c r="A128" s="188"/>
      <c r="B128" s="191" t="str">
        <f>B132</f>
        <v>Wydatki bieżące</v>
      </c>
      <c r="C128" s="247">
        <v>63907</v>
      </c>
    </row>
    <row r="129" spans="1:3" ht="12.75" customHeight="1">
      <c r="A129" s="188"/>
      <c r="B129" s="191" t="s">
        <v>76</v>
      </c>
      <c r="C129" s="247">
        <v>15000</v>
      </c>
    </row>
    <row r="130" spans="1:3" ht="12.75" customHeight="1">
      <c r="A130" s="188"/>
      <c r="B130" s="32" t="s">
        <v>77</v>
      </c>
      <c r="C130" s="247">
        <f>C128-C129</f>
        <v>48907</v>
      </c>
    </row>
    <row r="131" spans="1:3" ht="12.75" customHeight="1">
      <c r="A131" s="75">
        <v>80195</v>
      </c>
      <c r="B131" s="32" t="s">
        <v>79</v>
      </c>
      <c r="C131" s="237">
        <f>C132</f>
        <v>1495000</v>
      </c>
    </row>
    <row r="132" spans="1:3" ht="12.75" customHeight="1">
      <c r="A132" s="75"/>
      <c r="B132" s="32" t="s">
        <v>24</v>
      </c>
      <c r="C132" s="237">
        <f>C133+C134</f>
        <v>1495000</v>
      </c>
    </row>
    <row r="133" spans="1:3" ht="12.75" customHeight="1">
      <c r="A133" s="75"/>
      <c r="B133" s="32" t="s">
        <v>75</v>
      </c>
      <c r="C133" s="244">
        <v>776000</v>
      </c>
    </row>
    <row r="134" spans="1:3" ht="12.75" customHeight="1">
      <c r="A134" s="81"/>
      <c r="B134" s="96" t="s">
        <v>77</v>
      </c>
      <c r="C134" s="246">
        <f>632000+87000</f>
        <v>719000</v>
      </c>
    </row>
    <row r="135" spans="1:3" s="94" customFormat="1" ht="12.75" customHeight="1">
      <c r="A135" s="84">
        <v>851</v>
      </c>
      <c r="B135" s="120" t="s">
        <v>46</v>
      </c>
      <c r="C135" s="232">
        <f>C136+C138</f>
        <v>180000</v>
      </c>
    </row>
    <row r="136" spans="1:3" s="94" customFormat="1" ht="12.75" customHeight="1">
      <c r="A136" s="77">
        <v>85153</v>
      </c>
      <c r="B136" s="112" t="s">
        <v>422</v>
      </c>
      <c r="C136" s="233">
        <f>C137</f>
        <v>10000</v>
      </c>
    </row>
    <row r="137" spans="1:3" s="94" customFormat="1" ht="12.75" customHeight="1">
      <c r="A137" s="77"/>
      <c r="B137" s="112" t="s">
        <v>24</v>
      </c>
      <c r="C137" s="233">
        <v>10000</v>
      </c>
    </row>
    <row r="138" spans="1:3" ht="12.75" customHeight="1">
      <c r="A138" s="77">
        <v>85154</v>
      </c>
      <c r="B138" s="112" t="s">
        <v>47</v>
      </c>
      <c r="C138" s="233">
        <f>C139</f>
        <v>170000</v>
      </c>
    </row>
    <row r="139" spans="1:3" ht="12.75" customHeight="1">
      <c r="A139" s="77"/>
      <c r="B139" s="112" t="s">
        <v>65</v>
      </c>
      <c r="C139" s="233">
        <f>C140+C141+C142</f>
        <v>170000</v>
      </c>
    </row>
    <row r="140" spans="1:3" ht="12.75" customHeight="1">
      <c r="A140" s="77"/>
      <c r="B140" s="112" t="s">
        <v>485</v>
      </c>
      <c r="C140" s="243">
        <v>8000</v>
      </c>
    </row>
    <row r="141" spans="1:3" ht="12.75" customHeight="1">
      <c r="A141" s="77"/>
      <c r="B141" s="112" t="s">
        <v>80</v>
      </c>
      <c r="C141" s="243">
        <v>2000</v>
      </c>
    </row>
    <row r="142" spans="1:3" ht="12.75" customHeight="1">
      <c r="A142" s="82"/>
      <c r="B142" s="121" t="s">
        <v>73</v>
      </c>
      <c r="C142" s="241">
        <v>160000</v>
      </c>
    </row>
    <row r="143" spans="1:3" s="94" customFormat="1" ht="12.75" customHeight="1">
      <c r="A143" s="29">
        <v>852</v>
      </c>
      <c r="B143" s="29" t="s">
        <v>106</v>
      </c>
      <c r="C143" s="231">
        <f>C146+C156+C158+C162+C164+C168+C172+C152+C144</f>
        <v>9703272</v>
      </c>
    </row>
    <row r="144" spans="1:3" s="94" customFormat="1" ht="12.75" customHeight="1">
      <c r="A144" s="32">
        <v>85202</v>
      </c>
      <c r="B144" s="32" t="s">
        <v>267</v>
      </c>
      <c r="C144" s="233">
        <f>C145</f>
        <v>150000</v>
      </c>
    </row>
    <row r="145" spans="1:3" s="94" customFormat="1" ht="12.75" customHeight="1">
      <c r="A145" s="32"/>
      <c r="B145" s="32" t="s">
        <v>24</v>
      </c>
      <c r="C145" s="233">
        <v>150000</v>
      </c>
    </row>
    <row r="146" spans="1:5" ht="12.75" customHeight="1">
      <c r="A146" s="191">
        <v>85203</v>
      </c>
      <c r="B146" s="191" t="s">
        <v>48</v>
      </c>
      <c r="C146" s="254">
        <f>C147</f>
        <v>407472</v>
      </c>
      <c r="D146" s="255"/>
      <c r="E146" s="255"/>
    </row>
    <row r="147" spans="1:5" ht="12.75" customHeight="1">
      <c r="A147" s="191"/>
      <c r="B147" s="191" t="s">
        <v>24</v>
      </c>
      <c r="C147" s="254">
        <f>C148+C149</f>
        <v>407472</v>
      </c>
      <c r="D147" s="255"/>
      <c r="E147" s="255"/>
    </row>
    <row r="148" spans="1:5" ht="12.75" customHeight="1">
      <c r="A148" s="191"/>
      <c r="B148" s="191" t="s">
        <v>75</v>
      </c>
      <c r="C148" s="254">
        <f>188000+38114</f>
        <v>226114</v>
      </c>
      <c r="D148" s="255"/>
      <c r="E148" s="255"/>
    </row>
    <row r="149" spans="1:5" ht="12.75" customHeight="1">
      <c r="A149" s="191"/>
      <c r="B149" s="191" t="s">
        <v>77</v>
      </c>
      <c r="C149" s="254">
        <f>122700+58658</f>
        <v>181358</v>
      </c>
      <c r="D149" s="255"/>
      <c r="E149" s="255"/>
    </row>
    <row r="150" spans="1:3" s="255" customFormat="1" ht="12.75" customHeight="1">
      <c r="A150" s="191"/>
      <c r="B150" s="191" t="s">
        <v>81</v>
      </c>
      <c r="C150" s="254">
        <v>96772</v>
      </c>
    </row>
    <row r="151" spans="1:3" s="255" customFormat="1" ht="12.75" customHeight="1">
      <c r="A151" s="191"/>
      <c r="B151" s="32" t="s">
        <v>82</v>
      </c>
      <c r="C151" s="254">
        <v>310700</v>
      </c>
    </row>
    <row r="152" spans="1:3" ht="12.75" customHeight="1">
      <c r="A152" s="197">
        <v>85212</v>
      </c>
      <c r="B152" s="32" t="s">
        <v>237</v>
      </c>
      <c r="C152" s="248">
        <f>C153</f>
        <v>5881000</v>
      </c>
    </row>
    <row r="153" spans="1:3" ht="12.75" customHeight="1">
      <c r="A153" s="18"/>
      <c r="B153" s="32" t="s">
        <v>24</v>
      </c>
      <c r="C153" s="248">
        <f>C154+C155</f>
        <v>5881000</v>
      </c>
    </row>
    <row r="154" spans="1:3" ht="12.75" customHeight="1">
      <c r="A154" s="18"/>
      <c r="B154" s="32" t="s">
        <v>72</v>
      </c>
      <c r="C154" s="248">
        <v>180000</v>
      </c>
    </row>
    <row r="155" spans="1:3" ht="12.75" customHeight="1">
      <c r="A155" s="18"/>
      <c r="B155" s="32" t="s">
        <v>73</v>
      </c>
      <c r="C155" s="248">
        <f>5881000-180000</f>
        <v>5701000</v>
      </c>
    </row>
    <row r="156" spans="1:3" ht="12.75" customHeight="1">
      <c r="A156" s="32">
        <v>85213</v>
      </c>
      <c r="B156" s="32" t="s">
        <v>49</v>
      </c>
      <c r="C156" s="233">
        <f>C157</f>
        <v>27800</v>
      </c>
    </row>
    <row r="157" spans="1:3" ht="12.75" customHeight="1">
      <c r="A157" s="32"/>
      <c r="B157" s="32" t="s">
        <v>50</v>
      </c>
      <c r="C157" s="243">
        <v>27800</v>
      </c>
    </row>
    <row r="158" spans="1:3" ht="12.75" customHeight="1">
      <c r="A158" s="32">
        <v>85214</v>
      </c>
      <c r="B158" s="32" t="s">
        <v>66</v>
      </c>
      <c r="C158" s="233">
        <f>C159</f>
        <v>1017100</v>
      </c>
    </row>
    <row r="159" spans="1:3" ht="12.75" customHeight="1">
      <c r="A159" s="32"/>
      <c r="B159" s="32" t="s">
        <v>24</v>
      </c>
      <c r="C159" s="233">
        <f>C160+C161</f>
        <v>1017100</v>
      </c>
    </row>
    <row r="160" spans="1:3" ht="12.75" customHeight="1">
      <c r="A160" s="32"/>
      <c r="B160" s="32" t="s">
        <v>81</v>
      </c>
      <c r="C160" s="243">
        <f>250000+583700</f>
        <v>833700</v>
      </c>
    </row>
    <row r="161" spans="1:3" ht="12.75" customHeight="1">
      <c r="A161" s="32"/>
      <c r="B161" s="32" t="s">
        <v>82</v>
      </c>
      <c r="C161" s="243">
        <v>183400</v>
      </c>
    </row>
    <row r="162" spans="1:3" ht="12.75" customHeight="1">
      <c r="A162" s="32">
        <v>85215</v>
      </c>
      <c r="B162" s="32" t="s">
        <v>51</v>
      </c>
      <c r="C162" s="233">
        <f>C163</f>
        <v>1200000</v>
      </c>
    </row>
    <row r="163" spans="1:3" ht="12.75" customHeight="1">
      <c r="A163" s="79"/>
      <c r="B163" s="32" t="s">
        <v>24</v>
      </c>
      <c r="C163" s="243">
        <v>1200000</v>
      </c>
    </row>
    <row r="164" spans="1:3" ht="12.75" customHeight="1">
      <c r="A164" s="32">
        <v>85219</v>
      </c>
      <c r="B164" s="32" t="s">
        <v>52</v>
      </c>
      <c r="C164" s="233">
        <f>C165</f>
        <v>534000</v>
      </c>
    </row>
    <row r="165" spans="1:3" ht="12.75" customHeight="1">
      <c r="A165" s="79"/>
      <c r="B165" s="32" t="s">
        <v>24</v>
      </c>
      <c r="C165" s="233">
        <f>C166+C167</f>
        <v>534000</v>
      </c>
    </row>
    <row r="166" spans="1:3" ht="12.75" customHeight="1">
      <c r="A166" s="32"/>
      <c r="B166" s="32" t="s">
        <v>72</v>
      </c>
      <c r="C166" s="243">
        <v>440000</v>
      </c>
    </row>
    <row r="167" spans="1:3" ht="12.75" customHeight="1">
      <c r="A167" s="32"/>
      <c r="B167" s="32" t="s">
        <v>73</v>
      </c>
      <c r="C167" s="243">
        <v>94000</v>
      </c>
    </row>
    <row r="168" spans="1:3" ht="12.75" customHeight="1">
      <c r="A168" s="75">
        <v>85228</v>
      </c>
      <c r="B168" s="32" t="s">
        <v>53</v>
      </c>
      <c r="C168" s="237">
        <f>C169</f>
        <v>183900</v>
      </c>
    </row>
    <row r="169" spans="1:7" ht="12.75" customHeight="1">
      <c r="A169" s="85"/>
      <c r="B169" s="32" t="s">
        <v>24</v>
      </c>
      <c r="C169" s="244">
        <f>C170+C171</f>
        <v>183900</v>
      </c>
      <c r="G169" s="400"/>
    </row>
    <row r="170" spans="1:3" ht="12.75" customHeight="1">
      <c r="A170" s="75"/>
      <c r="B170" s="32" t="s">
        <v>83</v>
      </c>
      <c r="C170" s="244">
        <v>71700</v>
      </c>
    </row>
    <row r="171" spans="1:3" ht="12.75" customHeight="1">
      <c r="A171" s="75"/>
      <c r="B171" s="32" t="s">
        <v>81</v>
      </c>
      <c r="C171" s="244">
        <v>112200</v>
      </c>
    </row>
    <row r="172" spans="1:3" ht="12.75" customHeight="1">
      <c r="A172" s="75">
        <v>85295</v>
      </c>
      <c r="B172" s="32" t="s">
        <v>27</v>
      </c>
      <c r="C172" s="237">
        <f>C173</f>
        <v>302000</v>
      </c>
    </row>
    <row r="173" spans="1:3" ht="12.75" customHeight="1">
      <c r="A173" s="81"/>
      <c r="B173" s="32" t="s">
        <v>24</v>
      </c>
      <c r="C173" s="246">
        <f>272000+30000</f>
        <v>302000</v>
      </c>
    </row>
    <row r="174" spans="1:3" s="94" customFormat="1" ht="12.75" customHeight="1">
      <c r="A174" s="80">
        <v>853</v>
      </c>
      <c r="B174" s="14" t="s">
        <v>372</v>
      </c>
      <c r="C174" s="245">
        <f>C175</f>
        <v>549226</v>
      </c>
    </row>
    <row r="175" spans="1:3" ht="12.75" customHeight="1">
      <c r="A175" s="75">
        <v>85395</v>
      </c>
      <c r="B175" s="32" t="s">
        <v>27</v>
      </c>
      <c r="C175" s="244">
        <f>C176</f>
        <v>549226</v>
      </c>
    </row>
    <row r="176" spans="1:3" ht="12.75" customHeight="1">
      <c r="A176" s="75"/>
      <c r="B176" s="32" t="s">
        <v>24</v>
      </c>
      <c r="C176" s="244">
        <f>C177+C178</f>
        <v>549226</v>
      </c>
    </row>
    <row r="177" spans="1:3" ht="12.75" customHeight="1">
      <c r="A177" s="75"/>
      <c r="B177" s="32" t="s">
        <v>72</v>
      </c>
      <c r="C177" s="244">
        <f>322429+97295</f>
        <v>419724</v>
      </c>
    </row>
    <row r="178" spans="1:3" ht="12.75" customHeight="1">
      <c r="A178" s="81"/>
      <c r="B178" s="96" t="s">
        <v>73</v>
      </c>
      <c r="C178" s="246">
        <f>24966+6513+98023</f>
        <v>129502</v>
      </c>
    </row>
    <row r="179" spans="1:3" ht="12.75" customHeight="1">
      <c r="A179" s="80">
        <v>854</v>
      </c>
      <c r="B179" s="29" t="s">
        <v>54</v>
      </c>
      <c r="C179" s="251">
        <f>C180+C184+C186</f>
        <v>668375</v>
      </c>
    </row>
    <row r="180" spans="1:3" ht="12.75" customHeight="1">
      <c r="A180" s="75">
        <v>85401</v>
      </c>
      <c r="B180" s="32" t="s">
        <v>55</v>
      </c>
      <c r="C180" s="252">
        <f>C181</f>
        <v>647150</v>
      </c>
    </row>
    <row r="181" spans="1:3" ht="12.75" customHeight="1">
      <c r="A181" s="75"/>
      <c r="B181" s="32" t="s">
        <v>24</v>
      </c>
      <c r="C181" s="252">
        <f>C182+C183</f>
        <v>647150</v>
      </c>
    </row>
    <row r="182" spans="1:3" ht="12.75" customHeight="1">
      <c r="A182" s="75"/>
      <c r="B182" s="32" t="s">
        <v>72</v>
      </c>
      <c r="C182" s="244">
        <v>516666</v>
      </c>
    </row>
    <row r="183" spans="1:3" ht="12.75" customHeight="1">
      <c r="A183" s="75"/>
      <c r="B183" s="32" t="s">
        <v>73</v>
      </c>
      <c r="C183" s="244">
        <v>130484</v>
      </c>
    </row>
    <row r="184" spans="1:3" ht="12.75" customHeight="1">
      <c r="A184" s="75">
        <v>85415</v>
      </c>
      <c r="B184" s="32" t="s">
        <v>345</v>
      </c>
      <c r="C184" s="244">
        <f>C185</f>
        <v>20000</v>
      </c>
    </row>
    <row r="185" spans="1:3" ht="12.75" customHeight="1">
      <c r="A185" s="75"/>
      <c r="B185" s="32" t="s">
        <v>24</v>
      </c>
      <c r="C185" s="244">
        <v>20000</v>
      </c>
    </row>
    <row r="186" spans="1:3" ht="12.75" customHeight="1">
      <c r="A186" s="188">
        <v>85446</v>
      </c>
      <c r="B186" s="191" t="s">
        <v>89</v>
      </c>
      <c r="C186" s="247">
        <f>C187</f>
        <v>1225</v>
      </c>
    </row>
    <row r="187" spans="1:3" ht="12.75" customHeight="1">
      <c r="A187" s="81"/>
      <c r="B187" s="96" t="s">
        <v>24</v>
      </c>
      <c r="C187" s="246">
        <v>1225</v>
      </c>
    </row>
    <row r="188" spans="1:3" ht="12.75" customHeight="1">
      <c r="A188" s="438">
        <v>900</v>
      </c>
      <c r="B188" s="78" t="s">
        <v>10</v>
      </c>
      <c r="C188" s="249">
        <f>C189+C197+C201+C203+C212+C194+C210</f>
        <v>5118664.53</v>
      </c>
    </row>
    <row r="189" spans="1:3" ht="12.75" customHeight="1">
      <c r="A189" s="75">
        <v>90001</v>
      </c>
      <c r="B189" s="32" t="s">
        <v>56</v>
      </c>
      <c r="C189" s="250">
        <f>C191+C190+C192</f>
        <v>269000</v>
      </c>
    </row>
    <row r="190" spans="1:3" ht="12.75" customHeight="1">
      <c r="A190" s="75"/>
      <c r="B190" s="32" t="s">
        <v>482</v>
      </c>
      <c r="C190" s="250">
        <v>189000</v>
      </c>
    </row>
    <row r="191" spans="1:3" ht="12.75" customHeight="1">
      <c r="A191" s="75"/>
      <c r="B191" s="32" t="s">
        <v>24</v>
      </c>
      <c r="C191" s="243">
        <v>20000</v>
      </c>
    </row>
    <row r="192" spans="1:3" ht="12.75" customHeight="1">
      <c r="A192" s="75"/>
      <c r="B192" s="32" t="s">
        <v>57</v>
      </c>
      <c r="C192" s="243">
        <f>C193</f>
        <v>60000</v>
      </c>
    </row>
    <row r="193" spans="1:3" ht="12.75" customHeight="1">
      <c r="A193" s="75"/>
      <c r="B193" s="191" t="s">
        <v>486</v>
      </c>
      <c r="C193" s="363">
        <v>60000</v>
      </c>
    </row>
    <row r="194" spans="1:3" ht="12.75" customHeight="1">
      <c r="A194" s="86">
        <v>90002</v>
      </c>
      <c r="B194" s="79" t="s">
        <v>230</v>
      </c>
      <c r="C194" s="243">
        <f>C195</f>
        <v>3826664.5300000003</v>
      </c>
    </row>
    <row r="195" spans="1:3" ht="12.75" customHeight="1">
      <c r="A195" s="87"/>
      <c r="B195" s="79" t="s">
        <v>57</v>
      </c>
      <c r="C195" s="243">
        <f>C196</f>
        <v>3826664.5300000003</v>
      </c>
    </row>
    <row r="196" spans="1:3" ht="12.75" customHeight="1">
      <c r="A196" s="88"/>
      <c r="B196" s="32" t="s">
        <v>313</v>
      </c>
      <c r="C196" s="243">
        <f>4186000-354335.47-5000</f>
        <v>3826664.5300000003</v>
      </c>
    </row>
    <row r="197" spans="1:3" ht="12.75" customHeight="1">
      <c r="A197" s="75">
        <v>90003</v>
      </c>
      <c r="B197" s="32" t="s">
        <v>58</v>
      </c>
      <c r="C197" s="250">
        <f>C198</f>
        <v>400000</v>
      </c>
    </row>
    <row r="198" spans="1:3" ht="12.75" customHeight="1">
      <c r="A198" s="75"/>
      <c r="B198" s="32" t="s">
        <v>24</v>
      </c>
      <c r="C198" s="250">
        <f>C199+C200</f>
        <v>400000</v>
      </c>
    </row>
    <row r="199" spans="1:3" ht="12.75" customHeight="1">
      <c r="A199" s="75"/>
      <c r="B199" s="32" t="s">
        <v>88</v>
      </c>
      <c r="C199" s="250">
        <v>2000</v>
      </c>
    </row>
    <row r="200" spans="1:3" ht="12.75" customHeight="1">
      <c r="A200" s="75"/>
      <c r="B200" s="32" t="s">
        <v>90</v>
      </c>
      <c r="C200" s="243">
        <v>398000</v>
      </c>
    </row>
    <row r="201" spans="1:3" ht="12.75" customHeight="1">
      <c r="A201" s="75">
        <v>90004</v>
      </c>
      <c r="B201" s="32" t="s">
        <v>59</v>
      </c>
      <c r="C201" s="250">
        <f>C202</f>
        <v>45000</v>
      </c>
    </row>
    <row r="202" spans="1:3" ht="12.75" customHeight="1">
      <c r="A202" s="75"/>
      <c r="B202" s="32" t="s">
        <v>24</v>
      </c>
      <c r="C202" s="243">
        <f>45000</f>
        <v>45000</v>
      </c>
    </row>
    <row r="203" spans="1:3" ht="12.75" customHeight="1">
      <c r="A203" s="75">
        <v>90015</v>
      </c>
      <c r="B203" s="32" t="s">
        <v>60</v>
      </c>
      <c r="C203" s="250">
        <f>C204+C205</f>
        <v>530000</v>
      </c>
    </row>
    <row r="204" spans="1:3" ht="12.75" customHeight="1">
      <c r="A204" s="75"/>
      <c r="B204" s="32" t="s">
        <v>24</v>
      </c>
      <c r="C204" s="243">
        <v>400000</v>
      </c>
    </row>
    <row r="205" spans="1:3" ht="12.75" customHeight="1">
      <c r="A205" s="75"/>
      <c r="B205" s="32" t="s">
        <v>57</v>
      </c>
      <c r="C205" s="243">
        <f>C206+C207+C208+C209</f>
        <v>130000</v>
      </c>
    </row>
    <row r="206" spans="1:3" ht="12.75" customHeight="1">
      <c r="A206" s="75"/>
      <c r="B206" s="32" t="s">
        <v>354</v>
      </c>
      <c r="C206" s="243">
        <f>30000+10000</f>
        <v>40000</v>
      </c>
    </row>
    <row r="207" spans="1:3" ht="12.75" customHeight="1">
      <c r="A207" s="75"/>
      <c r="B207" s="32" t="s">
        <v>355</v>
      </c>
      <c r="C207" s="243">
        <v>30000</v>
      </c>
    </row>
    <row r="208" spans="1:3" ht="12.75" customHeight="1">
      <c r="A208" s="75"/>
      <c r="B208" s="32" t="s">
        <v>356</v>
      </c>
      <c r="C208" s="243">
        <v>30000</v>
      </c>
    </row>
    <row r="209" spans="1:3" ht="12.75" customHeight="1">
      <c r="A209" s="75"/>
      <c r="B209" s="32" t="s">
        <v>357</v>
      </c>
      <c r="C209" s="243">
        <v>30000</v>
      </c>
    </row>
    <row r="210" spans="1:3" ht="12.75" customHeight="1">
      <c r="A210" s="75">
        <v>90020</v>
      </c>
      <c r="B210" s="32" t="s">
        <v>507</v>
      </c>
      <c r="C210" s="243">
        <f>C211</f>
        <v>2000</v>
      </c>
    </row>
    <row r="211" spans="1:3" ht="12.75" customHeight="1">
      <c r="A211" s="75"/>
      <c r="B211" s="32" t="s">
        <v>24</v>
      </c>
      <c r="C211" s="243">
        <v>2000</v>
      </c>
    </row>
    <row r="212" spans="1:3" ht="12.75" customHeight="1">
      <c r="A212" s="75">
        <v>90095</v>
      </c>
      <c r="B212" s="32" t="s">
        <v>27</v>
      </c>
      <c r="C212" s="250">
        <f>C213</f>
        <v>46000</v>
      </c>
    </row>
    <row r="213" spans="1:3" ht="12.75" customHeight="1">
      <c r="A213" s="75"/>
      <c r="B213" s="32" t="s">
        <v>24</v>
      </c>
      <c r="C213" s="250">
        <f>C214+C215</f>
        <v>46000</v>
      </c>
    </row>
    <row r="214" spans="1:3" ht="12.75" customHeight="1">
      <c r="A214" s="75"/>
      <c r="B214" s="32" t="s">
        <v>72</v>
      </c>
      <c r="C214" s="243">
        <v>18000</v>
      </c>
    </row>
    <row r="215" spans="1:3" ht="12.75" customHeight="1">
      <c r="A215" s="81"/>
      <c r="B215" s="96" t="s">
        <v>73</v>
      </c>
      <c r="C215" s="241">
        <f>30000-2000</f>
        <v>28000</v>
      </c>
    </row>
    <row r="216" spans="1:3" s="94" customFormat="1" ht="12.75" customHeight="1">
      <c r="A216" s="84">
        <v>921</v>
      </c>
      <c r="B216" s="109" t="s">
        <v>11</v>
      </c>
      <c r="C216" s="231">
        <f>C217+C219+C221</f>
        <v>1120000</v>
      </c>
    </row>
    <row r="217" spans="1:3" ht="12.75" customHeight="1">
      <c r="A217" s="77">
        <v>92109</v>
      </c>
      <c r="B217" s="108" t="s">
        <v>61</v>
      </c>
      <c r="C217" s="250">
        <f>C218</f>
        <v>490000</v>
      </c>
    </row>
    <row r="218" spans="1:3" ht="12.75" customHeight="1">
      <c r="A218" s="77"/>
      <c r="B218" s="108" t="s">
        <v>487</v>
      </c>
      <c r="C218" s="243">
        <v>490000</v>
      </c>
    </row>
    <row r="219" spans="1:3" ht="12.75" customHeight="1">
      <c r="A219" s="77">
        <v>92116</v>
      </c>
      <c r="B219" s="108" t="s">
        <v>62</v>
      </c>
      <c r="C219" s="233">
        <f>C220</f>
        <v>560000</v>
      </c>
    </row>
    <row r="220" spans="1:3" ht="12.75" customHeight="1">
      <c r="A220" s="77"/>
      <c r="B220" s="108" t="s">
        <v>487</v>
      </c>
      <c r="C220" s="243">
        <v>560000</v>
      </c>
    </row>
    <row r="221" spans="1:3" ht="12.75" customHeight="1">
      <c r="A221" s="77">
        <v>92195</v>
      </c>
      <c r="B221" s="108" t="s">
        <v>27</v>
      </c>
      <c r="C221" s="233">
        <f>C222</f>
        <v>70000</v>
      </c>
    </row>
    <row r="222" spans="1:3" ht="12.75" customHeight="1">
      <c r="A222" s="82"/>
      <c r="B222" s="108" t="s">
        <v>482</v>
      </c>
      <c r="C222" s="241">
        <v>70000</v>
      </c>
    </row>
    <row r="223" spans="1:3" s="94" customFormat="1" ht="12.75" customHeight="1">
      <c r="A223" s="80">
        <v>926</v>
      </c>
      <c r="B223" s="29" t="s">
        <v>63</v>
      </c>
      <c r="C223" s="251">
        <f>C224</f>
        <v>233000</v>
      </c>
    </row>
    <row r="224" spans="1:3" ht="12.75" customHeight="1">
      <c r="A224" s="75">
        <v>92605</v>
      </c>
      <c r="B224" s="32" t="s">
        <v>145</v>
      </c>
      <c r="C224" s="252">
        <f>C225+C228</f>
        <v>233000</v>
      </c>
    </row>
    <row r="225" spans="1:3" ht="12.75" customHeight="1">
      <c r="A225" s="75"/>
      <c r="B225" s="32" t="s">
        <v>65</v>
      </c>
      <c r="C225" s="252">
        <f>C226+C227</f>
        <v>170000</v>
      </c>
    </row>
    <row r="226" spans="1:3" ht="12.75" customHeight="1">
      <c r="A226" s="75"/>
      <c r="B226" s="32" t="s">
        <v>488</v>
      </c>
      <c r="C226" s="244">
        <v>45000</v>
      </c>
    </row>
    <row r="227" spans="1:3" ht="12.75" customHeight="1">
      <c r="A227" s="75"/>
      <c r="B227" s="32" t="s">
        <v>73</v>
      </c>
      <c r="C227" s="244">
        <v>125000</v>
      </c>
    </row>
    <row r="228" spans="1:3" ht="12.75" customHeight="1">
      <c r="A228" s="75"/>
      <c r="B228" s="32" t="s">
        <v>57</v>
      </c>
      <c r="C228" s="244">
        <f>C229</f>
        <v>63000</v>
      </c>
    </row>
    <row r="229" spans="1:3" ht="12.75" customHeight="1">
      <c r="A229" s="75"/>
      <c r="B229" s="447" t="s">
        <v>470</v>
      </c>
      <c r="C229" s="247">
        <f>54000+9000</f>
        <v>63000</v>
      </c>
    </row>
    <row r="230" spans="1:3" ht="12.75" customHeight="1">
      <c r="A230" s="282"/>
      <c r="B230" s="283" t="s">
        <v>12</v>
      </c>
      <c r="C230" s="265">
        <f>C5+C9+C13+C20+C25+C42+C47+C56+C65+C81+C85+C97+C101+C103+C135+C143+C179+C188+C216+C223+C92+C174</f>
        <v>39394696.33</v>
      </c>
    </row>
    <row r="232" ht="12.75" customHeight="1" hidden="1">
      <c r="C232" s="253">
        <f>Dochody!C73-Wydatki!C230</f>
        <v>-1586554.8200000003</v>
      </c>
    </row>
  </sheetData>
  <mergeCells count="2">
    <mergeCell ref="A1:C1"/>
    <mergeCell ref="A2:C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3" manualBreakCount="3">
    <brk id="58" max="2" man="1"/>
    <brk id="116" max="2" man="1"/>
    <brk id="17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E161"/>
  <sheetViews>
    <sheetView showGridLines="0" workbookViewId="0" topLeftCell="A124">
      <selection activeCell="C172" sqref="C172"/>
    </sheetView>
  </sheetViews>
  <sheetFormatPr defaultColWidth="9.00390625" defaultRowHeight="12.75" customHeight="1"/>
  <cols>
    <col min="1" max="1" width="9.125" style="169" customWidth="1"/>
    <col min="2" max="2" width="7.125" style="169" customWidth="1"/>
    <col min="3" max="3" width="44.625" style="169" customWidth="1"/>
    <col min="4" max="4" width="16.00390625" style="169" customWidth="1"/>
    <col min="5" max="5" width="7.625" style="169" customWidth="1"/>
    <col min="6" max="16384" width="9.125" style="169" customWidth="1"/>
  </cols>
  <sheetData>
    <row r="1" spans="2:5" ht="12.75" customHeight="1">
      <c r="B1" s="498" t="s">
        <v>158</v>
      </c>
      <c r="C1" s="498"/>
      <c r="D1" s="498"/>
      <c r="E1" s="164"/>
    </row>
    <row r="2" spans="2:5" ht="12.75" customHeight="1">
      <c r="B2" s="499" t="s">
        <v>506</v>
      </c>
      <c r="C2" s="499"/>
      <c r="D2" s="499"/>
      <c r="E2" s="164"/>
    </row>
    <row r="4" spans="2:5" s="93" customFormat="1" ht="12.75" customHeight="1">
      <c r="B4" s="269" t="s">
        <v>22</v>
      </c>
      <c r="C4" s="270" t="s">
        <v>24</v>
      </c>
      <c r="D4" s="265" t="s">
        <v>322</v>
      </c>
      <c r="E4" s="452" t="s">
        <v>503</v>
      </c>
    </row>
    <row r="5" spans="2:5" s="94" customFormat="1" ht="12.75" customHeight="1">
      <c r="B5" s="80">
        <v>801</v>
      </c>
      <c r="C5" s="29" t="s">
        <v>9</v>
      </c>
      <c r="D5" s="456">
        <f>D6+D8+D9+D10+D12+D11+D7</f>
        <v>15213447</v>
      </c>
      <c r="E5" s="178">
        <f aca="true" t="shared" si="0" ref="E5:E28">D5/39394696.33%</f>
        <v>38.61800805001916</v>
      </c>
    </row>
    <row r="6" spans="2:5" ht="12.75" customHeight="1">
      <c r="B6" s="75">
        <v>80101</v>
      </c>
      <c r="C6" s="32" t="s">
        <v>43</v>
      </c>
      <c r="D6" s="453">
        <f>Wydatki!C104-502653.8</f>
        <v>8410495</v>
      </c>
      <c r="E6" s="168">
        <f t="shared" si="0"/>
        <v>21.3493078599903</v>
      </c>
    </row>
    <row r="7" spans="2:5" s="94" customFormat="1" ht="12.75" customHeight="1">
      <c r="B7" s="75">
        <v>80103</v>
      </c>
      <c r="C7" s="32" t="s">
        <v>268</v>
      </c>
      <c r="D7" s="454">
        <f>Wydatki!C113</f>
        <v>530600</v>
      </c>
      <c r="E7" s="168">
        <f t="shared" si="0"/>
        <v>1.3468818126056614</v>
      </c>
    </row>
    <row r="8" spans="2:5" ht="12.75" customHeight="1">
      <c r="B8" s="75">
        <v>80104</v>
      </c>
      <c r="C8" s="32" t="s">
        <v>251</v>
      </c>
      <c r="D8" s="453">
        <f>Wydatki!C117</f>
        <v>1152000</v>
      </c>
      <c r="E8" s="168">
        <f t="shared" si="0"/>
        <v>2.924251504187188</v>
      </c>
    </row>
    <row r="9" spans="2:5" s="94" customFormat="1" ht="12.75" customHeight="1">
      <c r="B9" s="75">
        <v>80110</v>
      </c>
      <c r="C9" s="32" t="s">
        <v>44</v>
      </c>
      <c r="D9" s="453">
        <f>Wydatki!C119</f>
        <v>3200595</v>
      </c>
      <c r="E9" s="168">
        <f t="shared" si="0"/>
        <v>8.124431200559021</v>
      </c>
    </row>
    <row r="10" spans="2:5" ht="12.75" customHeight="1">
      <c r="B10" s="75">
        <v>80113</v>
      </c>
      <c r="C10" s="32" t="s">
        <v>45</v>
      </c>
      <c r="D10" s="453">
        <f>Wydatki!C123</f>
        <v>360850</v>
      </c>
      <c r="E10" s="168">
        <f t="shared" si="0"/>
        <v>0.91598624590794</v>
      </c>
    </row>
    <row r="11" spans="2:5" ht="12.75" customHeight="1">
      <c r="B11" s="188">
        <v>80146</v>
      </c>
      <c r="C11" s="191" t="s">
        <v>89</v>
      </c>
      <c r="D11" s="455">
        <f>Wydatki!C127</f>
        <v>63907</v>
      </c>
      <c r="E11" s="168">
        <f t="shared" si="0"/>
        <v>0.16222234451223144</v>
      </c>
    </row>
    <row r="12" spans="2:5" s="94" customFormat="1" ht="12.75" customHeight="1">
      <c r="B12" s="81">
        <v>80195</v>
      </c>
      <c r="C12" s="96" t="s">
        <v>79</v>
      </c>
      <c r="D12" s="457">
        <f>Wydatki!C131</f>
        <v>1495000</v>
      </c>
      <c r="E12" s="210">
        <f t="shared" si="0"/>
        <v>3.794927082256811</v>
      </c>
    </row>
    <row r="13" spans="2:5" ht="12.75" customHeight="1">
      <c r="B13" s="80">
        <v>854</v>
      </c>
      <c r="C13" s="29" t="s">
        <v>54</v>
      </c>
      <c r="D13" s="251">
        <f>D14+D15+D16</f>
        <v>668375</v>
      </c>
      <c r="E13" s="178">
        <f t="shared" si="0"/>
        <v>1.69661163117284</v>
      </c>
    </row>
    <row r="14" spans="2:5" s="94" customFormat="1" ht="12.75" customHeight="1">
      <c r="B14" s="75">
        <v>85401</v>
      </c>
      <c r="C14" s="32" t="s">
        <v>55</v>
      </c>
      <c r="D14" s="252">
        <f>Wydatki!C180</f>
        <v>647150</v>
      </c>
      <c r="E14" s="168">
        <f t="shared" si="0"/>
        <v>1.6427338202558497</v>
      </c>
    </row>
    <row r="15" spans="2:5" s="94" customFormat="1" ht="12.75" customHeight="1">
      <c r="B15" s="75">
        <v>85415</v>
      </c>
      <c r="C15" s="32" t="s">
        <v>345</v>
      </c>
      <c r="D15" s="244">
        <f>Wydatki!C184</f>
        <v>20000</v>
      </c>
      <c r="E15" s="168">
        <f t="shared" si="0"/>
        <v>0.050768255281027574</v>
      </c>
    </row>
    <row r="16" spans="2:5" ht="12.75" customHeight="1">
      <c r="B16" s="357">
        <v>85446</v>
      </c>
      <c r="C16" s="447" t="s">
        <v>89</v>
      </c>
      <c r="D16" s="451">
        <f>Wydatki!C186</f>
        <v>1225</v>
      </c>
      <c r="E16" s="210">
        <f t="shared" si="0"/>
        <v>0.003109555635962939</v>
      </c>
    </row>
    <row r="17" spans="2:5" s="94" customFormat="1" ht="12.75" customHeight="1">
      <c r="B17" s="84">
        <v>921</v>
      </c>
      <c r="C17" s="109" t="s">
        <v>11</v>
      </c>
      <c r="D17" s="231">
        <f>D18+D19+D20</f>
        <v>1120000</v>
      </c>
      <c r="E17" s="178">
        <f t="shared" si="0"/>
        <v>2.843022295737544</v>
      </c>
    </row>
    <row r="18" spans="2:5" ht="12.75" customHeight="1">
      <c r="B18" s="77">
        <v>92109</v>
      </c>
      <c r="C18" s="108" t="s">
        <v>61</v>
      </c>
      <c r="D18" s="250">
        <f>Wydatki!C217</f>
        <v>490000</v>
      </c>
      <c r="E18" s="168">
        <f t="shared" si="0"/>
        <v>1.2438222543851756</v>
      </c>
    </row>
    <row r="19" spans="2:5" s="94" customFormat="1" ht="12.75" customHeight="1">
      <c r="B19" s="77">
        <v>92116</v>
      </c>
      <c r="C19" s="108" t="s">
        <v>62</v>
      </c>
      <c r="D19" s="233">
        <f>Wydatki!C219</f>
        <v>560000</v>
      </c>
      <c r="E19" s="168">
        <f t="shared" si="0"/>
        <v>1.421511147868772</v>
      </c>
    </row>
    <row r="20" spans="2:5" ht="12.75" customHeight="1">
      <c r="B20" s="77">
        <v>92195</v>
      </c>
      <c r="C20" s="108" t="s">
        <v>27</v>
      </c>
      <c r="D20" s="233">
        <f>Wydatki!C221</f>
        <v>70000</v>
      </c>
      <c r="E20" s="210">
        <f t="shared" si="0"/>
        <v>0.1776888934835965</v>
      </c>
    </row>
    <row r="21" spans="2:5" ht="12.75" customHeight="1">
      <c r="B21" s="80">
        <v>926</v>
      </c>
      <c r="C21" s="29" t="s">
        <v>63</v>
      </c>
      <c r="D21" s="251">
        <f>D22</f>
        <v>170000</v>
      </c>
      <c r="E21" s="178">
        <f t="shared" si="0"/>
        <v>0.4315301698887344</v>
      </c>
    </row>
    <row r="22" spans="2:5" s="94" customFormat="1" ht="12.75" customHeight="1">
      <c r="B22" s="81">
        <v>92605</v>
      </c>
      <c r="C22" s="96" t="s">
        <v>145</v>
      </c>
      <c r="D22" s="458">
        <f>Wydatki!C224-63000</f>
        <v>170000</v>
      </c>
      <c r="E22" s="210">
        <f t="shared" si="0"/>
        <v>0.4315301698887344</v>
      </c>
    </row>
    <row r="23" spans="2:5" s="94" customFormat="1" ht="12.75" customHeight="1">
      <c r="B23" s="84">
        <v>851</v>
      </c>
      <c r="C23" s="120" t="s">
        <v>46</v>
      </c>
      <c r="D23" s="232">
        <f>D24+D25</f>
        <v>180000</v>
      </c>
      <c r="E23" s="178">
        <f t="shared" si="0"/>
        <v>0.4569142975292481</v>
      </c>
    </row>
    <row r="24" spans="2:5" ht="12.75" customHeight="1">
      <c r="B24" s="77">
        <v>85153</v>
      </c>
      <c r="C24" s="112" t="s">
        <v>422</v>
      </c>
      <c r="D24" s="233">
        <f>Wydatki!C136</f>
        <v>10000</v>
      </c>
      <c r="E24" s="168">
        <f t="shared" si="0"/>
        <v>0.025384127640513787</v>
      </c>
    </row>
    <row r="25" spans="2:5" ht="12.75" customHeight="1">
      <c r="B25" s="82">
        <v>85154</v>
      </c>
      <c r="C25" s="121" t="s">
        <v>47</v>
      </c>
      <c r="D25" s="234">
        <f>Wydatki!C138</f>
        <v>170000</v>
      </c>
      <c r="E25" s="210">
        <f t="shared" si="0"/>
        <v>0.4315301698887344</v>
      </c>
    </row>
    <row r="26" spans="2:5" s="94" customFormat="1" ht="12.75" customHeight="1">
      <c r="B26" s="29">
        <v>630</v>
      </c>
      <c r="C26" s="109" t="s">
        <v>5</v>
      </c>
      <c r="D26" s="232">
        <f>D27</f>
        <v>105000</v>
      </c>
      <c r="E26" s="178">
        <f t="shared" si="0"/>
        <v>0.26653334022539477</v>
      </c>
    </row>
    <row r="27" spans="2:5" ht="12.75" customHeight="1">
      <c r="B27" s="32">
        <v>63001</v>
      </c>
      <c r="C27" s="108" t="s">
        <v>30</v>
      </c>
      <c r="D27" s="233">
        <f>Wydatki!C43</f>
        <v>105000</v>
      </c>
      <c r="E27" s="210">
        <f t="shared" si="0"/>
        <v>0.26653334022539477</v>
      </c>
    </row>
    <row r="28" spans="2:5" ht="12.75" customHeight="1">
      <c r="B28" s="459"/>
      <c r="C28" s="460" t="s">
        <v>12</v>
      </c>
      <c r="D28" s="461">
        <f>D5+D13+D17+D21+D23+D26</f>
        <v>17456822</v>
      </c>
      <c r="E28" s="281">
        <f t="shared" si="0"/>
        <v>44.31261978457292</v>
      </c>
    </row>
    <row r="30" spans="2:5" ht="12.75" customHeight="1">
      <c r="B30" s="269" t="s">
        <v>22</v>
      </c>
      <c r="C30" s="270" t="s">
        <v>24</v>
      </c>
      <c r="D30" s="265" t="s">
        <v>322</v>
      </c>
      <c r="E30" s="452" t="s">
        <v>503</v>
      </c>
    </row>
    <row r="31" spans="2:5" s="94" customFormat="1" ht="12.75" customHeight="1">
      <c r="B31" s="29">
        <v>852</v>
      </c>
      <c r="C31" s="29" t="s">
        <v>106</v>
      </c>
      <c r="D31" s="231">
        <f>D33+D35+D36+D37+D38+D39+D40+D34+D32</f>
        <v>9703272</v>
      </c>
      <c r="E31" s="178">
        <f aca="true" t="shared" si="1" ref="E31:E43">D31/39394696.33%</f>
        <v>24.630909497862348</v>
      </c>
    </row>
    <row r="32" spans="2:5" ht="12.75" customHeight="1">
      <c r="B32" s="32">
        <v>85202</v>
      </c>
      <c r="C32" s="32" t="s">
        <v>267</v>
      </c>
      <c r="D32" s="233">
        <f>Wydatki!C144</f>
        <v>150000</v>
      </c>
      <c r="E32" s="168">
        <f t="shared" si="1"/>
        <v>0.3807619146077068</v>
      </c>
    </row>
    <row r="33" spans="2:5" s="94" customFormat="1" ht="12.75" customHeight="1">
      <c r="B33" s="191">
        <v>85203</v>
      </c>
      <c r="C33" s="191" t="s">
        <v>48</v>
      </c>
      <c r="D33" s="254">
        <f>Wydatki!C146</f>
        <v>407472</v>
      </c>
      <c r="E33" s="168">
        <f t="shared" si="1"/>
        <v>1.0343321257935434</v>
      </c>
    </row>
    <row r="34" spans="2:5" ht="15" customHeight="1">
      <c r="B34" s="197">
        <v>85212</v>
      </c>
      <c r="C34" s="32" t="s">
        <v>237</v>
      </c>
      <c r="D34" s="248">
        <f>Wydatki!C152</f>
        <v>5881000</v>
      </c>
      <c r="E34" s="168">
        <f t="shared" si="1"/>
        <v>14.928405465386158</v>
      </c>
    </row>
    <row r="35" spans="2:5" ht="12.75" customHeight="1">
      <c r="B35" s="32">
        <v>85213</v>
      </c>
      <c r="C35" s="32" t="s">
        <v>49</v>
      </c>
      <c r="D35" s="233">
        <f>Wydatki!C156</f>
        <v>27800</v>
      </c>
      <c r="E35" s="168">
        <f t="shared" si="1"/>
        <v>0.07056787484062832</v>
      </c>
    </row>
    <row r="36" spans="2:5" ht="12.75" customHeight="1">
      <c r="B36" s="32">
        <v>85214</v>
      </c>
      <c r="C36" s="32" t="s">
        <v>66</v>
      </c>
      <c r="D36" s="233">
        <f>Wydatki!C158</f>
        <v>1017100</v>
      </c>
      <c r="E36" s="168">
        <f t="shared" si="1"/>
        <v>2.581819622316657</v>
      </c>
    </row>
    <row r="37" spans="2:5" s="94" customFormat="1" ht="12.75" customHeight="1">
      <c r="B37" s="32">
        <v>85215</v>
      </c>
      <c r="C37" s="32" t="s">
        <v>51</v>
      </c>
      <c r="D37" s="233">
        <f>Wydatki!C162</f>
        <v>1200000</v>
      </c>
      <c r="E37" s="168">
        <f t="shared" si="1"/>
        <v>3.0460953168616545</v>
      </c>
    </row>
    <row r="38" spans="2:5" ht="12.75" customHeight="1">
      <c r="B38" s="32">
        <v>85219</v>
      </c>
      <c r="C38" s="32" t="s">
        <v>52</v>
      </c>
      <c r="D38" s="233">
        <f>Wydatki!C164</f>
        <v>534000</v>
      </c>
      <c r="E38" s="168">
        <f t="shared" si="1"/>
        <v>1.3555124160034362</v>
      </c>
    </row>
    <row r="39" spans="2:5" s="94" customFormat="1" ht="12.75" customHeight="1">
      <c r="B39" s="75">
        <v>85228</v>
      </c>
      <c r="C39" s="32" t="s">
        <v>53</v>
      </c>
      <c r="D39" s="237">
        <f>Wydatki!C168</f>
        <v>183900</v>
      </c>
      <c r="E39" s="168">
        <f t="shared" si="1"/>
        <v>0.46681410730904854</v>
      </c>
    </row>
    <row r="40" spans="2:5" ht="12.75" customHeight="1">
      <c r="B40" s="75">
        <v>85295</v>
      </c>
      <c r="C40" s="32" t="s">
        <v>27</v>
      </c>
      <c r="D40" s="237">
        <f>Wydatki!C172</f>
        <v>302000</v>
      </c>
      <c r="E40" s="210">
        <f t="shared" si="1"/>
        <v>0.7666006547435164</v>
      </c>
    </row>
    <row r="41" spans="2:5" s="94" customFormat="1" ht="12.75" customHeight="1">
      <c r="B41" s="80">
        <v>853</v>
      </c>
      <c r="C41" s="14" t="s">
        <v>372</v>
      </c>
      <c r="D41" s="245">
        <f>D42</f>
        <v>549226</v>
      </c>
      <c r="E41" s="178">
        <f t="shared" si="1"/>
        <v>1.3941622887488825</v>
      </c>
    </row>
    <row r="42" spans="2:5" s="94" customFormat="1" ht="12.75" customHeight="1">
      <c r="B42" s="75">
        <v>85395</v>
      </c>
      <c r="C42" s="32" t="s">
        <v>27</v>
      </c>
      <c r="D42" s="244">
        <f>Wydatki!C175</f>
        <v>549226</v>
      </c>
      <c r="E42" s="210">
        <f t="shared" si="1"/>
        <v>1.3941622887488825</v>
      </c>
    </row>
    <row r="43" spans="2:5" ht="12.75" customHeight="1">
      <c r="B43" s="459"/>
      <c r="C43" s="460" t="s">
        <v>12</v>
      </c>
      <c r="D43" s="461">
        <f>D31+D41</f>
        <v>10252498</v>
      </c>
      <c r="E43" s="281">
        <f t="shared" si="1"/>
        <v>26.02507178661123</v>
      </c>
    </row>
    <row r="45" spans="2:5" ht="12.75" customHeight="1">
      <c r="B45" s="269" t="s">
        <v>22</v>
      </c>
      <c r="C45" s="270" t="s">
        <v>24</v>
      </c>
      <c r="D45" s="265" t="s">
        <v>322</v>
      </c>
      <c r="E45" s="452" t="s">
        <v>503</v>
      </c>
    </row>
    <row r="46" spans="2:5" ht="12.75" customHeight="1">
      <c r="B46" s="80">
        <v>400</v>
      </c>
      <c r="C46" s="29" t="s">
        <v>84</v>
      </c>
      <c r="D46" s="232">
        <f>D48+D47</f>
        <v>281200</v>
      </c>
      <c r="E46" s="178">
        <f aca="true" t="shared" si="2" ref="E46:E60">D46/39394696.33%</f>
        <v>0.7138016692512477</v>
      </c>
    </row>
    <row r="47" spans="2:5" ht="12.75" customHeight="1">
      <c r="B47" s="75">
        <v>40002</v>
      </c>
      <c r="C47" s="32" t="s">
        <v>107</v>
      </c>
      <c r="D47" s="243">
        <f>Wydatki!C14-42000</f>
        <v>277200</v>
      </c>
      <c r="E47" s="168">
        <f t="shared" si="2"/>
        <v>0.7036480181950422</v>
      </c>
    </row>
    <row r="48" spans="2:5" ht="12.75" customHeight="1">
      <c r="B48" s="81">
        <v>40095</v>
      </c>
      <c r="C48" s="96" t="s">
        <v>27</v>
      </c>
      <c r="D48" s="241">
        <f>Wydatki!C18</f>
        <v>4000</v>
      </c>
      <c r="E48" s="210">
        <f t="shared" si="2"/>
        <v>0.010153651056205514</v>
      </c>
    </row>
    <row r="49" spans="2:5" ht="12.75" customHeight="1">
      <c r="B49" s="29">
        <v>600</v>
      </c>
      <c r="C49" s="29" t="s">
        <v>4</v>
      </c>
      <c r="D49" s="232">
        <f>D50</f>
        <v>300000</v>
      </c>
      <c r="E49" s="178">
        <f t="shared" si="2"/>
        <v>0.7615238292154136</v>
      </c>
    </row>
    <row r="50" spans="2:5" ht="12.75" customHeight="1">
      <c r="B50" s="32">
        <v>60016</v>
      </c>
      <c r="C50" s="32" t="s">
        <v>29</v>
      </c>
      <c r="D50" s="233">
        <f>Wydatki!C29-840000</f>
        <v>300000</v>
      </c>
      <c r="E50" s="210">
        <f t="shared" si="2"/>
        <v>0.7615238292154136</v>
      </c>
    </row>
    <row r="51" spans="2:5" ht="12.75" customHeight="1">
      <c r="B51" s="80">
        <v>700</v>
      </c>
      <c r="C51" s="29" t="s">
        <v>6</v>
      </c>
      <c r="D51" s="236">
        <f>D53+D52</f>
        <v>178492</v>
      </c>
      <c r="E51" s="178">
        <f t="shared" si="2"/>
        <v>0.45308637108105865</v>
      </c>
    </row>
    <row r="52" spans="2:5" ht="12.75" customHeight="1">
      <c r="B52" s="75">
        <v>70004</v>
      </c>
      <c r="C52" s="79" t="s">
        <v>159</v>
      </c>
      <c r="D52" s="237">
        <f>Wydatki!C48</f>
        <v>48492</v>
      </c>
      <c r="E52" s="168">
        <f t="shared" si="2"/>
        <v>0.12309271175437946</v>
      </c>
    </row>
    <row r="53" spans="2:5" ht="12.75" customHeight="1">
      <c r="B53" s="75">
        <v>70005</v>
      </c>
      <c r="C53" s="32" t="s">
        <v>31</v>
      </c>
      <c r="D53" s="237">
        <f>Wydatki!C50-210000</f>
        <v>130000</v>
      </c>
      <c r="E53" s="168">
        <f t="shared" si="2"/>
        <v>0.32999365932667923</v>
      </c>
    </row>
    <row r="54" spans="2:5" ht="12.75" customHeight="1">
      <c r="B54" s="80">
        <v>900</v>
      </c>
      <c r="C54" s="29" t="s">
        <v>10</v>
      </c>
      <c r="D54" s="231">
        <f>D55+D56+D57+D58+D59</f>
        <v>1100000</v>
      </c>
      <c r="E54" s="178">
        <f t="shared" si="2"/>
        <v>2.7922540404565166</v>
      </c>
    </row>
    <row r="55" spans="2:5" ht="12.75" customHeight="1">
      <c r="B55" s="75">
        <v>90001</v>
      </c>
      <c r="C55" s="32" t="s">
        <v>56</v>
      </c>
      <c r="D55" s="250">
        <f>Wydatki!C189-60000</f>
        <v>209000</v>
      </c>
      <c r="E55" s="168">
        <f t="shared" si="2"/>
        <v>0.5305282676867381</v>
      </c>
    </row>
    <row r="56" spans="2:5" ht="12.75" customHeight="1">
      <c r="B56" s="75">
        <v>90003</v>
      </c>
      <c r="C56" s="32" t="s">
        <v>58</v>
      </c>
      <c r="D56" s="250">
        <f>Wydatki!C197</f>
        <v>400000</v>
      </c>
      <c r="E56" s="168">
        <f t="shared" si="2"/>
        <v>1.0153651056205515</v>
      </c>
    </row>
    <row r="57" spans="2:5" ht="12.75" customHeight="1">
      <c r="B57" s="75">
        <v>90004</v>
      </c>
      <c r="C57" s="32" t="s">
        <v>59</v>
      </c>
      <c r="D57" s="250">
        <f>Wydatki!C201</f>
        <v>45000</v>
      </c>
      <c r="E57" s="168">
        <f t="shared" si="2"/>
        <v>0.11422857438231203</v>
      </c>
    </row>
    <row r="58" spans="2:5" ht="12.75" customHeight="1">
      <c r="B58" s="75">
        <v>90015</v>
      </c>
      <c r="C58" s="32" t="s">
        <v>60</v>
      </c>
      <c r="D58" s="250">
        <f>Wydatki!C203-130000</f>
        <v>400000</v>
      </c>
      <c r="E58" s="168">
        <f t="shared" si="2"/>
        <v>1.0153651056205515</v>
      </c>
    </row>
    <row r="59" spans="2:5" ht="12.75" customHeight="1">
      <c r="B59" s="81">
        <v>90095</v>
      </c>
      <c r="C59" s="96" t="s">
        <v>27</v>
      </c>
      <c r="D59" s="462">
        <f>Wydatki!C212</f>
        <v>46000</v>
      </c>
      <c r="E59" s="210">
        <f t="shared" si="2"/>
        <v>0.11676698714636341</v>
      </c>
    </row>
    <row r="60" spans="2:5" ht="12.75" customHeight="1">
      <c r="B60" s="459"/>
      <c r="C60" s="460" t="s">
        <v>12</v>
      </c>
      <c r="D60" s="461">
        <f>D46+D49+D51+D54</f>
        <v>1859692</v>
      </c>
      <c r="E60" s="281">
        <f t="shared" si="2"/>
        <v>4.720665910004237</v>
      </c>
    </row>
    <row r="61" s="94" customFormat="1" ht="12.75" customHeight="1"/>
    <row r="62" spans="2:5" ht="12.75" customHeight="1">
      <c r="B62" s="269" t="s">
        <v>22</v>
      </c>
      <c r="C62" s="270" t="s">
        <v>24</v>
      </c>
      <c r="D62" s="265" t="s">
        <v>322</v>
      </c>
      <c r="E62" s="452" t="s">
        <v>503</v>
      </c>
    </row>
    <row r="63" spans="2:5" ht="12.75" customHeight="1">
      <c r="B63" s="84">
        <v>750</v>
      </c>
      <c r="C63" s="109" t="s">
        <v>7</v>
      </c>
      <c r="D63" s="232">
        <f>D64+D65+D66+D67</f>
        <v>2870000</v>
      </c>
      <c r="E63" s="178">
        <f aca="true" t="shared" si="3" ref="E63:E68">D63/39394696.33%</f>
        <v>7.285244632827457</v>
      </c>
    </row>
    <row r="64" spans="2:5" ht="12.75" customHeight="1">
      <c r="B64" s="77">
        <v>75011</v>
      </c>
      <c r="C64" s="108" t="s">
        <v>34</v>
      </c>
      <c r="D64" s="233">
        <f>Wydatki!C66</f>
        <v>206000</v>
      </c>
      <c r="E64" s="168">
        <f t="shared" si="3"/>
        <v>0.522913029394584</v>
      </c>
    </row>
    <row r="65" spans="2:5" s="94" customFormat="1" ht="12.75" customHeight="1">
      <c r="B65" s="77">
        <v>75022</v>
      </c>
      <c r="C65" s="108" t="s">
        <v>35</v>
      </c>
      <c r="D65" s="233">
        <f>Wydatki!C70</f>
        <v>120000</v>
      </c>
      <c r="E65" s="168">
        <f t="shared" si="3"/>
        <v>0.30460953168616545</v>
      </c>
    </row>
    <row r="66" spans="2:5" ht="12.75" customHeight="1">
      <c r="B66" s="77">
        <v>75023</v>
      </c>
      <c r="C66" s="108" t="s">
        <v>36</v>
      </c>
      <c r="D66" s="233">
        <f>Wydatki!C72-150000</f>
        <v>2444000</v>
      </c>
      <c r="E66" s="168">
        <f t="shared" si="3"/>
        <v>6.203880795341569</v>
      </c>
    </row>
    <row r="67" spans="2:5" ht="12.75" customHeight="1">
      <c r="B67" s="82">
        <v>75095</v>
      </c>
      <c r="C67" s="110" t="s">
        <v>27</v>
      </c>
      <c r="D67" s="234">
        <f>Wydatki!C79</f>
        <v>100000</v>
      </c>
      <c r="E67" s="210">
        <f t="shared" si="3"/>
        <v>0.2538412764051379</v>
      </c>
    </row>
    <row r="68" spans="2:5" ht="12.75" customHeight="1">
      <c r="B68" s="459"/>
      <c r="C68" s="460" t="s">
        <v>12</v>
      </c>
      <c r="D68" s="461">
        <f>D63</f>
        <v>2870000</v>
      </c>
      <c r="E68" s="281">
        <f t="shared" si="3"/>
        <v>7.285244632827457</v>
      </c>
    </row>
    <row r="70" spans="2:5" ht="12.75" customHeight="1">
      <c r="B70" s="269" t="s">
        <v>22</v>
      </c>
      <c r="C70" s="270" t="s">
        <v>24</v>
      </c>
      <c r="D70" s="265" t="s">
        <v>322</v>
      </c>
      <c r="E70" s="452" t="s">
        <v>503</v>
      </c>
    </row>
    <row r="71" spans="2:5" ht="12.75" customHeight="1">
      <c r="B71" s="69" t="s">
        <v>67</v>
      </c>
      <c r="C71" s="29" t="s">
        <v>23</v>
      </c>
      <c r="D71" s="232">
        <f>D72</f>
        <v>4500</v>
      </c>
      <c r="E71" s="178">
        <f aca="true" t="shared" si="4" ref="E71:E91">D71/39394696.33%</f>
        <v>0.011422857438231203</v>
      </c>
    </row>
    <row r="72" spans="2:5" ht="12.75" customHeight="1">
      <c r="B72" s="71" t="s">
        <v>68</v>
      </c>
      <c r="C72" s="96" t="s">
        <v>25</v>
      </c>
      <c r="D72" s="234">
        <f>Wydatki!C6</f>
        <v>4500</v>
      </c>
      <c r="E72" s="210">
        <f t="shared" si="4"/>
        <v>0.011422857438231203</v>
      </c>
    </row>
    <row r="73" spans="2:5" ht="12.75" customHeight="1">
      <c r="B73" s="72" t="s">
        <v>69</v>
      </c>
      <c r="C73" s="111" t="s">
        <v>3</v>
      </c>
      <c r="D73" s="242">
        <f>D74</f>
        <v>43000</v>
      </c>
      <c r="E73" s="178">
        <f t="shared" si="4"/>
        <v>0.10915174885420928</v>
      </c>
    </row>
    <row r="74" spans="2:5" ht="12.75" customHeight="1">
      <c r="B74" s="73" t="s">
        <v>70</v>
      </c>
      <c r="C74" s="112" t="s">
        <v>26</v>
      </c>
      <c r="D74" s="233">
        <f>Wydatki!C9</f>
        <v>43000</v>
      </c>
      <c r="E74" s="168">
        <f t="shared" si="4"/>
        <v>0.10915174885420928</v>
      </c>
    </row>
    <row r="75" spans="2:5" ht="12.75" customHeight="1">
      <c r="B75" s="84">
        <v>500</v>
      </c>
      <c r="C75" s="120" t="s">
        <v>28</v>
      </c>
      <c r="D75" s="232">
        <f>D76</f>
        <v>41000</v>
      </c>
      <c r="E75" s="178">
        <f t="shared" si="4"/>
        <v>0.10407492332610652</v>
      </c>
    </row>
    <row r="76" spans="2:5" ht="12.75" customHeight="1">
      <c r="B76" s="82">
        <v>50095</v>
      </c>
      <c r="C76" s="121" t="s">
        <v>27</v>
      </c>
      <c r="D76" s="234">
        <f>Wydatki!C21</f>
        <v>41000</v>
      </c>
      <c r="E76" s="210">
        <f t="shared" si="4"/>
        <v>0.10407492332610652</v>
      </c>
    </row>
    <row r="77" spans="2:5" ht="12.75" customHeight="1">
      <c r="B77" s="80">
        <v>710</v>
      </c>
      <c r="C77" s="29" t="s">
        <v>32</v>
      </c>
      <c r="D77" s="456">
        <f>D79+D80+D78</f>
        <v>207000</v>
      </c>
      <c r="E77" s="178">
        <f t="shared" si="4"/>
        <v>0.5254514421586354</v>
      </c>
    </row>
    <row r="78" spans="2:5" ht="12.75" customHeight="1">
      <c r="B78" s="75">
        <v>71004</v>
      </c>
      <c r="C78" s="32" t="s">
        <v>173</v>
      </c>
      <c r="D78" s="453">
        <f>Wydatki!C57</f>
        <v>150000</v>
      </c>
      <c r="E78" s="168">
        <f t="shared" si="4"/>
        <v>0.3807619146077068</v>
      </c>
    </row>
    <row r="79" spans="2:5" ht="12.75" customHeight="1">
      <c r="B79" s="75">
        <v>71035</v>
      </c>
      <c r="C79" s="32" t="s">
        <v>33</v>
      </c>
      <c r="D79" s="453">
        <f>Wydatki!C59-50000</f>
        <v>30000</v>
      </c>
      <c r="E79" s="275">
        <f t="shared" si="4"/>
        <v>0.07615238292154136</v>
      </c>
    </row>
    <row r="80" spans="2:5" ht="12.75" customHeight="1">
      <c r="B80" s="81">
        <v>71095</v>
      </c>
      <c r="C80" s="96" t="s">
        <v>27</v>
      </c>
      <c r="D80" s="457">
        <f>Wydatki!C63</f>
        <v>27000</v>
      </c>
      <c r="E80" s="210">
        <f t="shared" si="4"/>
        <v>0.06853714462938722</v>
      </c>
    </row>
    <row r="81" spans="2:5" ht="12.75" customHeight="1">
      <c r="B81" s="80">
        <v>751</v>
      </c>
      <c r="C81" s="101" t="s">
        <v>271</v>
      </c>
      <c r="D81" s="236">
        <f>D82</f>
        <v>2866</v>
      </c>
      <c r="E81" s="178">
        <f t="shared" si="4"/>
        <v>0.007275090981771251</v>
      </c>
    </row>
    <row r="82" spans="2:5" ht="12.75" customHeight="1">
      <c r="B82" s="81">
        <v>75101</v>
      </c>
      <c r="C82" s="96" t="s">
        <v>271</v>
      </c>
      <c r="D82" s="238">
        <f>Wydatki!C82</f>
        <v>2866</v>
      </c>
      <c r="E82" s="210">
        <f t="shared" si="4"/>
        <v>0.007275090981771251</v>
      </c>
    </row>
    <row r="83" spans="2:5" ht="12.75" customHeight="1">
      <c r="B83" s="438">
        <v>754</v>
      </c>
      <c r="C83" s="78" t="s">
        <v>38</v>
      </c>
      <c r="D83" s="439">
        <f>D84</f>
        <v>110000</v>
      </c>
      <c r="E83" s="178">
        <f t="shared" si="4"/>
        <v>0.27922540404565166</v>
      </c>
    </row>
    <row r="84" spans="2:5" ht="12.75" customHeight="1">
      <c r="B84" s="75">
        <v>75412</v>
      </c>
      <c r="C84" s="32" t="s">
        <v>39</v>
      </c>
      <c r="D84" s="237">
        <f>Wydatki!C86-5000</f>
        <v>110000</v>
      </c>
      <c r="E84" s="210">
        <f t="shared" si="4"/>
        <v>0.27922540404565166</v>
      </c>
    </row>
    <row r="85" spans="2:5" ht="12.75" customHeight="1">
      <c r="B85" s="80">
        <v>756</v>
      </c>
      <c r="C85" s="29" t="s">
        <v>374</v>
      </c>
      <c r="D85" s="245">
        <f>D86</f>
        <v>46000</v>
      </c>
      <c r="E85" s="178">
        <f t="shared" si="4"/>
        <v>0.11676698714636341</v>
      </c>
    </row>
    <row r="86" spans="2:5" ht="12.75" customHeight="1">
      <c r="B86" s="81">
        <v>75647</v>
      </c>
      <c r="C86" s="96" t="s">
        <v>37</v>
      </c>
      <c r="D86" s="238">
        <f>Wydatki!C93</f>
        <v>46000</v>
      </c>
      <c r="E86" s="210">
        <f t="shared" si="4"/>
        <v>0.11676698714636341</v>
      </c>
    </row>
    <row r="87" spans="2:5" ht="12.75" customHeight="1">
      <c r="B87" s="76">
        <v>757</v>
      </c>
      <c r="C87" s="111" t="s">
        <v>40</v>
      </c>
      <c r="D87" s="242">
        <f>D88</f>
        <v>420000</v>
      </c>
      <c r="E87" s="178">
        <f t="shared" si="4"/>
        <v>1.066133360901579</v>
      </c>
    </row>
    <row r="88" spans="2:5" ht="12.75" customHeight="1">
      <c r="B88" s="77">
        <v>75702</v>
      </c>
      <c r="C88" s="112" t="s">
        <v>86</v>
      </c>
      <c r="D88" s="233">
        <f>Wydatki!C98</f>
        <v>420000</v>
      </c>
      <c r="E88" s="210">
        <f t="shared" si="4"/>
        <v>1.066133360901579</v>
      </c>
    </row>
    <row r="89" spans="2:5" ht="12.75" customHeight="1">
      <c r="B89" s="84">
        <v>758</v>
      </c>
      <c r="C89" s="120" t="s">
        <v>8</v>
      </c>
      <c r="D89" s="232">
        <f>D90</f>
        <v>150000</v>
      </c>
      <c r="E89" s="178">
        <f t="shared" si="4"/>
        <v>0.3807619146077068</v>
      </c>
    </row>
    <row r="90" spans="2:5" ht="12.75" customHeight="1">
      <c r="B90" s="77">
        <v>75818</v>
      </c>
      <c r="C90" s="112" t="s">
        <v>41</v>
      </c>
      <c r="D90" s="233">
        <f>Wydatki!C102</f>
        <v>150000</v>
      </c>
      <c r="E90" s="210">
        <f t="shared" si="4"/>
        <v>0.3807619146077068</v>
      </c>
    </row>
    <row r="91" spans="2:5" ht="12.75" customHeight="1">
      <c r="B91" s="459"/>
      <c r="C91" s="460" t="s">
        <v>12</v>
      </c>
      <c r="D91" s="461">
        <f>D71+D73+D75+D77+D81+D83+D85+D87+D89</f>
        <v>1024366</v>
      </c>
      <c r="E91" s="281">
        <f t="shared" si="4"/>
        <v>2.6002637294602544</v>
      </c>
    </row>
    <row r="93" spans="2:5" ht="12.75" customHeight="1">
      <c r="B93" s="269" t="s">
        <v>22</v>
      </c>
      <c r="C93" s="270" t="s">
        <v>57</v>
      </c>
      <c r="D93" s="265" t="s">
        <v>322</v>
      </c>
      <c r="E93" s="478"/>
    </row>
    <row r="94" spans="2:5" ht="12.75" customHeight="1">
      <c r="B94" s="80">
        <v>400</v>
      </c>
      <c r="C94" s="29" t="s">
        <v>84</v>
      </c>
      <c r="D94" s="464">
        <f>D95</f>
        <v>42000</v>
      </c>
      <c r="E94" s="178">
        <f aca="true" t="shared" si="5" ref="E94:E125">D94/39394696.33%</f>
        <v>0.1066133360901579</v>
      </c>
    </row>
    <row r="95" spans="2:5" ht="12.75" customHeight="1">
      <c r="B95" s="75">
        <v>40002</v>
      </c>
      <c r="C95" s="32" t="s">
        <v>107</v>
      </c>
      <c r="D95" s="465">
        <f>D96</f>
        <v>42000</v>
      </c>
      <c r="E95" s="168">
        <f t="shared" si="5"/>
        <v>0.1066133360901579</v>
      </c>
    </row>
    <row r="96" spans="2:5" ht="12.75" customHeight="1">
      <c r="B96" s="75"/>
      <c r="C96" s="32" t="s">
        <v>57</v>
      </c>
      <c r="D96" s="465">
        <f>D97</f>
        <v>42000</v>
      </c>
      <c r="E96" s="168">
        <f t="shared" si="5"/>
        <v>0.1066133360901579</v>
      </c>
    </row>
    <row r="97" spans="2:5" ht="12.75" customHeight="1">
      <c r="B97" s="81"/>
      <c r="C97" s="96" t="s">
        <v>238</v>
      </c>
      <c r="D97" s="466">
        <v>42000</v>
      </c>
      <c r="E97" s="210">
        <f t="shared" si="5"/>
        <v>0.1066133360901579</v>
      </c>
    </row>
    <row r="98" spans="2:5" ht="12.75" customHeight="1">
      <c r="B98" s="29">
        <v>600</v>
      </c>
      <c r="C98" s="29" t="s">
        <v>4</v>
      </c>
      <c r="D98" s="464">
        <f>D99+D102</f>
        <v>890000</v>
      </c>
      <c r="E98" s="178">
        <f t="shared" si="5"/>
        <v>2.259187360005727</v>
      </c>
    </row>
    <row r="99" spans="2:5" ht="12.75" customHeight="1">
      <c r="B99" s="191">
        <v>60013</v>
      </c>
      <c r="C99" s="191" t="s">
        <v>351</v>
      </c>
      <c r="D99" s="467">
        <f>D100</f>
        <v>50000</v>
      </c>
      <c r="E99" s="168">
        <f t="shared" si="5"/>
        <v>0.12692063820256894</v>
      </c>
    </row>
    <row r="100" spans="2:5" ht="12.75" customHeight="1">
      <c r="B100" s="362"/>
      <c r="C100" s="191" t="s">
        <v>483</v>
      </c>
      <c r="D100" s="467">
        <v>50000</v>
      </c>
      <c r="E100" s="168">
        <f t="shared" si="5"/>
        <v>0.12692063820256894</v>
      </c>
    </row>
    <row r="101" spans="2:5" ht="12.75" customHeight="1">
      <c r="B101" s="362"/>
      <c r="C101" s="191" t="s">
        <v>501</v>
      </c>
      <c r="D101" s="467">
        <v>50000</v>
      </c>
      <c r="E101" s="168">
        <f t="shared" si="5"/>
        <v>0.12692063820256894</v>
      </c>
    </row>
    <row r="102" spans="2:5" ht="12.75" customHeight="1">
      <c r="B102" s="32">
        <v>60016</v>
      </c>
      <c r="C102" s="32" t="s">
        <v>29</v>
      </c>
      <c r="D102" s="468">
        <f>D103</f>
        <v>840000</v>
      </c>
      <c r="E102" s="168">
        <f t="shared" si="5"/>
        <v>2.132266721803158</v>
      </c>
    </row>
    <row r="103" spans="2:5" ht="12.75" customHeight="1">
      <c r="B103" s="32"/>
      <c r="C103" s="32" t="s">
        <v>57</v>
      </c>
      <c r="D103" s="465">
        <f>D104+D107+D113+D112+D110+D111+D105+D106+D108+D109</f>
        <v>840000</v>
      </c>
      <c r="E103" s="168">
        <f t="shared" si="5"/>
        <v>2.132266721803158</v>
      </c>
    </row>
    <row r="104" spans="2:5" ht="12.75" customHeight="1">
      <c r="B104" s="191"/>
      <c r="C104" s="191" t="s">
        <v>151</v>
      </c>
      <c r="D104" s="469">
        <v>50000</v>
      </c>
      <c r="E104" s="168">
        <f t="shared" si="5"/>
        <v>0.12692063820256894</v>
      </c>
    </row>
    <row r="105" spans="2:5" ht="12.75" customHeight="1">
      <c r="B105" s="191"/>
      <c r="C105" s="64" t="s">
        <v>505</v>
      </c>
      <c r="D105" s="469">
        <f>80000+100000</f>
        <v>180000</v>
      </c>
      <c r="E105" s="168">
        <f t="shared" si="5"/>
        <v>0.4569142975292481</v>
      </c>
    </row>
    <row r="106" spans="2:5" ht="12.75" customHeight="1">
      <c r="B106" s="191"/>
      <c r="C106" s="64" t="s">
        <v>464</v>
      </c>
      <c r="D106" s="469">
        <f>100000+15000+30000</f>
        <v>145000</v>
      </c>
      <c r="E106" s="168">
        <f t="shared" si="5"/>
        <v>0.3680698507874499</v>
      </c>
    </row>
    <row r="107" spans="2:5" ht="12.75" customHeight="1">
      <c r="B107" s="191"/>
      <c r="C107" s="191" t="s">
        <v>249</v>
      </c>
      <c r="D107" s="469">
        <v>100000</v>
      </c>
      <c r="E107" s="168">
        <f t="shared" si="5"/>
        <v>0.2538412764051379</v>
      </c>
    </row>
    <row r="108" spans="2:5" ht="12.75" customHeight="1">
      <c r="B108" s="188"/>
      <c r="C108" s="191" t="s">
        <v>502</v>
      </c>
      <c r="D108" s="469">
        <v>50000</v>
      </c>
      <c r="E108" s="168">
        <f t="shared" si="5"/>
        <v>0.12692063820256894</v>
      </c>
    </row>
    <row r="109" spans="2:5" ht="12.75" customHeight="1">
      <c r="B109" s="188"/>
      <c r="C109" s="191" t="s">
        <v>471</v>
      </c>
      <c r="D109" s="469">
        <v>50000</v>
      </c>
      <c r="E109" s="168">
        <f t="shared" si="5"/>
        <v>0.12692063820256894</v>
      </c>
    </row>
    <row r="110" spans="2:5" ht="12.75" customHeight="1">
      <c r="B110" s="75"/>
      <c r="C110" s="79" t="s">
        <v>353</v>
      </c>
      <c r="D110" s="465">
        <v>50000</v>
      </c>
      <c r="E110" s="168">
        <f t="shared" si="5"/>
        <v>0.12692063820256894</v>
      </c>
    </row>
    <row r="111" spans="2:5" ht="12.75" customHeight="1">
      <c r="B111" s="75"/>
      <c r="C111" s="79" t="s">
        <v>352</v>
      </c>
      <c r="D111" s="465">
        <v>40000</v>
      </c>
      <c r="E111" s="168">
        <f t="shared" si="5"/>
        <v>0.10153651056205515</v>
      </c>
    </row>
    <row r="112" spans="2:5" ht="12.75" customHeight="1">
      <c r="B112" s="75"/>
      <c r="C112" s="79" t="s">
        <v>250</v>
      </c>
      <c r="D112" s="465">
        <f>50000+25000</f>
        <v>75000</v>
      </c>
      <c r="E112" s="168">
        <f t="shared" si="5"/>
        <v>0.1903809573038534</v>
      </c>
    </row>
    <row r="113" spans="2:5" ht="12.75" customHeight="1">
      <c r="B113" s="32"/>
      <c r="C113" s="32" t="s">
        <v>152</v>
      </c>
      <c r="D113" s="465">
        <v>100000</v>
      </c>
      <c r="E113" s="210">
        <f t="shared" si="5"/>
        <v>0.2538412764051379</v>
      </c>
    </row>
    <row r="114" spans="2:5" ht="12.75" customHeight="1">
      <c r="B114" s="80">
        <v>700</v>
      </c>
      <c r="C114" s="29" t="s">
        <v>6</v>
      </c>
      <c r="D114" s="456">
        <f>D115</f>
        <v>210000</v>
      </c>
      <c r="E114" s="178">
        <f t="shared" si="5"/>
        <v>0.5330666804507895</v>
      </c>
    </row>
    <row r="115" spans="2:5" ht="12.75" customHeight="1">
      <c r="B115" s="75">
        <v>70005</v>
      </c>
      <c r="C115" s="32" t="s">
        <v>31</v>
      </c>
      <c r="D115" s="453">
        <f>D116</f>
        <v>210000</v>
      </c>
      <c r="E115" s="168">
        <f t="shared" si="5"/>
        <v>0.5330666804507895</v>
      </c>
    </row>
    <row r="116" spans="2:5" ht="12.75" customHeight="1">
      <c r="B116" s="75"/>
      <c r="C116" s="191" t="s">
        <v>57</v>
      </c>
      <c r="D116" s="455">
        <f>D117+D118+D119</f>
        <v>210000</v>
      </c>
      <c r="E116" s="168">
        <f t="shared" si="5"/>
        <v>0.5330666804507895</v>
      </c>
    </row>
    <row r="117" spans="2:5" ht="12.75" customHeight="1">
      <c r="B117" s="75"/>
      <c r="C117" s="191" t="s">
        <v>498</v>
      </c>
      <c r="D117" s="455">
        <v>30000</v>
      </c>
      <c r="E117" s="168">
        <f t="shared" si="5"/>
        <v>0.07615238292154136</v>
      </c>
    </row>
    <row r="118" spans="2:5" ht="12.75" customHeight="1">
      <c r="B118" s="75"/>
      <c r="C118" s="32" t="s">
        <v>468</v>
      </c>
      <c r="D118" s="454">
        <v>80000</v>
      </c>
      <c r="E118" s="168">
        <f t="shared" si="5"/>
        <v>0.2030730211241103</v>
      </c>
    </row>
    <row r="119" spans="2:5" ht="12.75" customHeight="1">
      <c r="B119" s="75"/>
      <c r="C119" s="32" t="s">
        <v>500</v>
      </c>
      <c r="D119" s="454">
        <v>100000</v>
      </c>
      <c r="E119" s="210">
        <f t="shared" si="5"/>
        <v>0.2538412764051379</v>
      </c>
    </row>
    <row r="120" spans="2:5" ht="12.75" customHeight="1">
      <c r="B120" s="80">
        <v>710</v>
      </c>
      <c r="C120" s="29" t="s">
        <v>32</v>
      </c>
      <c r="D120" s="456">
        <f>D121</f>
        <v>50000</v>
      </c>
      <c r="E120" s="178">
        <f t="shared" si="5"/>
        <v>0.12692063820256894</v>
      </c>
    </row>
    <row r="121" spans="2:5" ht="12.75" customHeight="1">
      <c r="B121" s="75">
        <v>71035</v>
      </c>
      <c r="C121" s="32" t="s">
        <v>33</v>
      </c>
      <c r="D121" s="453">
        <f>D122</f>
        <v>50000</v>
      </c>
      <c r="E121" s="168">
        <f t="shared" si="5"/>
        <v>0.12692063820256894</v>
      </c>
    </row>
    <row r="122" spans="2:5" ht="12.75" customHeight="1">
      <c r="B122" s="75"/>
      <c r="C122" s="32" t="s">
        <v>57</v>
      </c>
      <c r="D122" s="454">
        <f>D123</f>
        <v>50000</v>
      </c>
      <c r="E122" s="168">
        <f t="shared" si="5"/>
        <v>0.12692063820256894</v>
      </c>
    </row>
    <row r="123" spans="2:5" ht="12.75" customHeight="1">
      <c r="B123" s="81"/>
      <c r="C123" s="96" t="s">
        <v>154</v>
      </c>
      <c r="D123" s="470">
        <v>50000</v>
      </c>
      <c r="E123" s="210">
        <f t="shared" si="5"/>
        <v>0.12692063820256894</v>
      </c>
    </row>
    <row r="124" spans="2:5" ht="12.75" customHeight="1">
      <c r="B124" s="76">
        <v>750</v>
      </c>
      <c r="C124" s="107" t="s">
        <v>7</v>
      </c>
      <c r="D124" s="471">
        <f>D125</f>
        <v>150000</v>
      </c>
      <c r="E124" s="178">
        <f t="shared" si="5"/>
        <v>0.3807619146077068</v>
      </c>
    </row>
    <row r="125" spans="2:5" ht="12.75" customHeight="1">
      <c r="B125" s="77">
        <v>75023</v>
      </c>
      <c r="C125" s="108" t="s">
        <v>36</v>
      </c>
      <c r="D125" s="468">
        <f>D126</f>
        <v>150000</v>
      </c>
      <c r="E125" s="168">
        <f t="shared" si="5"/>
        <v>0.3807619146077068</v>
      </c>
    </row>
    <row r="126" spans="2:5" ht="12.75" customHeight="1">
      <c r="B126" s="77"/>
      <c r="C126" s="108" t="s">
        <v>57</v>
      </c>
      <c r="D126" s="465">
        <f>D127+D128</f>
        <v>150000</v>
      </c>
      <c r="E126" s="168">
        <f aca="true" t="shared" si="6" ref="E126:E157">D126/39394696.33%</f>
        <v>0.3807619146077068</v>
      </c>
    </row>
    <row r="127" spans="2:5" ht="12.75" customHeight="1">
      <c r="B127" s="77"/>
      <c r="C127" s="108" t="s">
        <v>239</v>
      </c>
      <c r="D127" s="465">
        <v>50000</v>
      </c>
      <c r="E127" s="168">
        <f t="shared" si="6"/>
        <v>0.12692063820256894</v>
      </c>
    </row>
    <row r="128" spans="2:5" ht="12.75" customHeight="1">
      <c r="B128" s="77"/>
      <c r="C128" s="108" t="s">
        <v>240</v>
      </c>
      <c r="D128" s="465">
        <v>100000</v>
      </c>
      <c r="E128" s="210">
        <f t="shared" si="6"/>
        <v>0.2538412764051379</v>
      </c>
    </row>
    <row r="129" spans="2:5" ht="12.75" customHeight="1">
      <c r="B129" s="80">
        <v>754</v>
      </c>
      <c r="C129" s="29" t="s">
        <v>38</v>
      </c>
      <c r="D129" s="456">
        <f>D130</f>
        <v>5000</v>
      </c>
      <c r="E129" s="178">
        <f t="shared" si="6"/>
        <v>0.012692063820256894</v>
      </c>
    </row>
    <row r="130" spans="2:5" ht="12.75" customHeight="1">
      <c r="B130" s="75">
        <v>75412</v>
      </c>
      <c r="C130" s="32" t="s">
        <v>39</v>
      </c>
      <c r="D130" s="453">
        <f>D131</f>
        <v>5000</v>
      </c>
      <c r="E130" s="168">
        <f t="shared" si="6"/>
        <v>0.012692063820256894</v>
      </c>
    </row>
    <row r="131" spans="2:5" ht="12.75" customHeight="1">
      <c r="B131" s="75"/>
      <c r="C131" s="32" t="s">
        <v>57</v>
      </c>
      <c r="D131" s="454">
        <f>D132</f>
        <v>5000</v>
      </c>
      <c r="E131" s="168">
        <f t="shared" si="6"/>
        <v>0.012692063820256894</v>
      </c>
    </row>
    <row r="132" spans="2:5" ht="12.75" customHeight="1">
      <c r="B132" s="81"/>
      <c r="C132" s="96" t="s">
        <v>239</v>
      </c>
      <c r="D132" s="470">
        <v>5000</v>
      </c>
      <c r="E132" s="210">
        <f t="shared" si="6"/>
        <v>0.012692063820256894</v>
      </c>
    </row>
    <row r="133" spans="2:5" ht="12.75" customHeight="1">
      <c r="B133" s="80">
        <v>801</v>
      </c>
      <c r="C133" s="29" t="s">
        <v>9</v>
      </c>
      <c r="D133" s="456">
        <f>D134</f>
        <v>502653.8</v>
      </c>
      <c r="E133" s="178">
        <f t="shared" si="6"/>
        <v>1.2759428218189288</v>
      </c>
    </row>
    <row r="134" spans="2:5" ht="12.75" customHeight="1">
      <c r="B134" s="75">
        <v>80101</v>
      </c>
      <c r="C134" s="32" t="s">
        <v>43</v>
      </c>
      <c r="D134" s="453">
        <f>D135</f>
        <v>502653.8</v>
      </c>
      <c r="E134" s="168">
        <f t="shared" si="6"/>
        <v>1.2759428218189288</v>
      </c>
    </row>
    <row r="135" spans="2:5" ht="12.75" customHeight="1">
      <c r="B135" s="188"/>
      <c r="C135" s="191" t="s">
        <v>57</v>
      </c>
      <c r="D135" s="455">
        <f>D138+D139+D136+D137+D140</f>
        <v>502653.8</v>
      </c>
      <c r="E135" s="168">
        <f t="shared" si="6"/>
        <v>1.2759428218189288</v>
      </c>
    </row>
    <row r="136" spans="2:5" ht="12.75" customHeight="1">
      <c r="B136" s="188"/>
      <c r="C136" s="32" t="s">
        <v>314</v>
      </c>
      <c r="D136" s="455">
        <v>17000</v>
      </c>
      <c r="E136" s="168">
        <f t="shared" si="6"/>
        <v>0.04315301698887344</v>
      </c>
    </row>
    <row r="137" spans="2:5" ht="12.75" customHeight="1">
      <c r="B137" s="188"/>
      <c r="C137" s="32" t="s">
        <v>481</v>
      </c>
      <c r="D137" s="455">
        <v>5000</v>
      </c>
      <c r="E137" s="168">
        <f t="shared" si="6"/>
        <v>0.012692063820256894</v>
      </c>
    </row>
    <row r="138" spans="2:5" ht="12.75" customHeight="1">
      <c r="B138" s="188"/>
      <c r="C138" s="191" t="s">
        <v>421</v>
      </c>
      <c r="D138" s="455">
        <v>70000</v>
      </c>
      <c r="E138" s="168">
        <f t="shared" si="6"/>
        <v>0.1776888934835965</v>
      </c>
    </row>
    <row r="139" spans="2:5" ht="12.75" customHeight="1">
      <c r="B139" s="75"/>
      <c r="C139" s="32" t="s">
        <v>315</v>
      </c>
      <c r="D139" s="454">
        <v>410653.8</v>
      </c>
      <c r="E139" s="168">
        <f t="shared" si="6"/>
        <v>1.0424088475262019</v>
      </c>
    </row>
    <row r="140" spans="2:5" ht="12.75" customHeight="1">
      <c r="B140" s="81"/>
      <c r="C140" s="96"/>
      <c r="D140" s="470"/>
      <c r="E140" s="210">
        <f t="shared" si="6"/>
        <v>0</v>
      </c>
    </row>
    <row r="141" spans="2:5" ht="12.75" customHeight="1">
      <c r="B141" s="80">
        <v>900</v>
      </c>
      <c r="C141" s="29" t="s">
        <v>10</v>
      </c>
      <c r="D141" s="472">
        <f>D142+D145+D148</f>
        <v>4016664.5300000003</v>
      </c>
      <c r="E141" s="178">
        <f t="shared" si="6"/>
        <v>10.195952511864432</v>
      </c>
    </row>
    <row r="142" spans="2:5" ht="12.75" customHeight="1">
      <c r="B142" s="75">
        <v>90001</v>
      </c>
      <c r="C142" s="32" t="s">
        <v>56</v>
      </c>
      <c r="D142" s="473">
        <f>D143</f>
        <v>60000</v>
      </c>
      <c r="E142" s="168">
        <f t="shared" si="6"/>
        <v>0.15230476584308272</v>
      </c>
    </row>
    <row r="143" spans="2:5" ht="12.75" customHeight="1">
      <c r="B143" s="75"/>
      <c r="C143" s="32" t="s">
        <v>57</v>
      </c>
      <c r="D143" s="465">
        <f>D144</f>
        <v>60000</v>
      </c>
      <c r="E143" s="168">
        <f t="shared" si="6"/>
        <v>0.15230476584308272</v>
      </c>
    </row>
    <row r="144" spans="2:5" ht="12.75" customHeight="1">
      <c r="B144" s="75"/>
      <c r="C144" s="191" t="s">
        <v>486</v>
      </c>
      <c r="D144" s="469">
        <v>60000</v>
      </c>
      <c r="E144" s="168">
        <f t="shared" si="6"/>
        <v>0.15230476584308272</v>
      </c>
    </row>
    <row r="145" spans="2:5" ht="12.75" customHeight="1">
      <c r="B145" s="86">
        <v>90002</v>
      </c>
      <c r="C145" s="79" t="s">
        <v>230</v>
      </c>
      <c r="D145" s="465">
        <f>D146</f>
        <v>3826664.5300000003</v>
      </c>
      <c r="E145" s="168">
        <f t="shared" si="6"/>
        <v>9.713654086694671</v>
      </c>
    </row>
    <row r="146" spans="2:5" ht="12.75" customHeight="1">
      <c r="B146" s="87"/>
      <c r="C146" s="79" t="s">
        <v>57</v>
      </c>
      <c r="D146" s="465">
        <f>D147</f>
        <v>3826664.5300000003</v>
      </c>
      <c r="E146" s="168">
        <f t="shared" si="6"/>
        <v>9.713654086694671</v>
      </c>
    </row>
    <row r="147" spans="2:5" ht="12.75" customHeight="1">
      <c r="B147" s="133"/>
      <c r="C147" s="96" t="s">
        <v>313</v>
      </c>
      <c r="D147" s="466">
        <f>4186000-354335.47-5000</f>
        <v>3826664.5300000003</v>
      </c>
      <c r="E147" s="210">
        <f t="shared" si="6"/>
        <v>9.713654086694671</v>
      </c>
    </row>
    <row r="148" spans="2:5" ht="12.75" customHeight="1">
      <c r="B148" s="444">
        <v>90015</v>
      </c>
      <c r="C148" s="101" t="s">
        <v>60</v>
      </c>
      <c r="D148" s="474">
        <f>D149</f>
        <v>130000</v>
      </c>
      <c r="E148" s="178">
        <f t="shared" si="6"/>
        <v>0.32999365932667923</v>
      </c>
    </row>
    <row r="149" spans="2:5" ht="12.75" customHeight="1">
      <c r="B149" s="75"/>
      <c r="C149" s="32" t="s">
        <v>57</v>
      </c>
      <c r="D149" s="465">
        <f>D150+D151+D152+D153</f>
        <v>130000</v>
      </c>
      <c r="E149" s="168">
        <f t="shared" si="6"/>
        <v>0.32999365932667923</v>
      </c>
    </row>
    <row r="150" spans="2:5" ht="12.75" customHeight="1">
      <c r="B150" s="75"/>
      <c r="C150" s="32" t="s">
        <v>354</v>
      </c>
      <c r="D150" s="465">
        <f>30000+10000</f>
        <v>40000</v>
      </c>
      <c r="E150" s="168">
        <f t="shared" si="6"/>
        <v>0.10153651056205515</v>
      </c>
    </row>
    <row r="151" spans="2:5" ht="12.75" customHeight="1">
      <c r="B151" s="75"/>
      <c r="C151" s="32" t="s">
        <v>355</v>
      </c>
      <c r="D151" s="465">
        <v>30000</v>
      </c>
      <c r="E151" s="168">
        <f t="shared" si="6"/>
        <v>0.07615238292154136</v>
      </c>
    </row>
    <row r="152" spans="2:5" ht="12.75" customHeight="1">
      <c r="B152" s="75"/>
      <c r="C152" s="32" t="s">
        <v>356</v>
      </c>
      <c r="D152" s="465">
        <v>30000</v>
      </c>
      <c r="E152" s="168">
        <f t="shared" si="6"/>
        <v>0.07615238292154136</v>
      </c>
    </row>
    <row r="153" spans="2:5" ht="12.75" customHeight="1">
      <c r="B153" s="81"/>
      <c r="C153" s="96" t="s">
        <v>357</v>
      </c>
      <c r="D153" s="466">
        <v>30000</v>
      </c>
      <c r="E153" s="210">
        <f t="shared" si="6"/>
        <v>0.07615238292154136</v>
      </c>
    </row>
    <row r="154" spans="2:5" ht="12.75" customHeight="1">
      <c r="B154" s="80">
        <v>926</v>
      </c>
      <c r="C154" s="29" t="s">
        <v>63</v>
      </c>
      <c r="D154" s="475">
        <f>D155</f>
        <v>63000</v>
      </c>
      <c r="E154" s="178">
        <f t="shared" si="6"/>
        <v>0.15992000413523685</v>
      </c>
    </row>
    <row r="155" spans="2:5" ht="12.75" customHeight="1">
      <c r="B155" s="75">
        <v>92605</v>
      </c>
      <c r="C155" s="32" t="s">
        <v>145</v>
      </c>
      <c r="D155" s="476">
        <f>D156</f>
        <v>63000</v>
      </c>
      <c r="E155" s="168">
        <f t="shared" si="6"/>
        <v>0.15992000413523685</v>
      </c>
    </row>
    <row r="156" spans="2:5" ht="12.75" customHeight="1">
      <c r="B156" s="75"/>
      <c r="C156" s="32" t="s">
        <v>57</v>
      </c>
      <c r="D156" s="454">
        <f>D157</f>
        <v>63000</v>
      </c>
      <c r="E156" s="168">
        <f t="shared" si="6"/>
        <v>0.15992000413523685</v>
      </c>
    </row>
    <row r="157" spans="2:5" ht="12.75" customHeight="1">
      <c r="B157" s="75"/>
      <c r="C157" s="447" t="s">
        <v>470</v>
      </c>
      <c r="D157" s="455">
        <f>54000+9000</f>
        <v>63000</v>
      </c>
      <c r="E157" s="168">
        <f t="shared" si="6"/>
        <v>0.15992000413523685</v>
      </c>
    </row>
    <row r="158" spans="2:5" ht="12.75" customHeight="1">
      <c r="B158" s="282"/>
      <c r="C158" s="283" t="s">
        <v>12</v>
      </c>
      <c r="D158" s="477">
        <f>D154+D141+D133+D129+D124+D120+D114+D98+D94</f>
        <v>5929318.33</v>
      </c>
      <c r="E158" s="479">
        <f>D158/39394696.33%</f>
        <v>15.051057330995803</v>
      </c>
    </row>
    <row r="159" spans="2:4" ht="12.75" customHeight="1">
      <c r="B159" s="68"/>
      <c r="C159" s="68"/>
      <c r="D159" s="253"/>
    </row>
    <row r="161" ht="12.75" customHeight="1">
      <c r="D161" s="480">
        <f>D158+D91+D68+D60+D43+D28</f>
        <v>39392696.33</v>
      </c>
    </row>
  </sheetData>
  <mergeCells count="2">
    <mergeCell ref="B1:D1"/>
    <mergeCell ref="B2:D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E500"/>
  <sheetViews>
    <sheetView showGridLines="0" workbookViewId="0" topLeftCell="A114">
      <selection activeCell="E160" sqref="E160"/>
    </sheetView>
  </sheetViews>
  <sheetFormatPr defaultColWidth="9.00390625" defaultRowHeight="12.75" customHeight="1"/>
  <cols>
    <col min="1" max="1" width="9.125" style="169" customWidth="1"/>
    <col min="2" max="2" width="7.125" style="169" customWidth="1"/>
    <col min="3" max="3" width="44.625" style="169" customWidth="1"/>
    <col min="4" max="4" width="16.00390625" style="169" customWidth="1"/>
    <col min="5" max="5" width="7.625" style="169" customWidth="1"/>
    <col min="6" max="16384" width="9.125" style="169" customWidth="1"/>
  </cols>
  <sheetData>
    <row r="1" spans="2:5" ht="12.75" customHeight="1">
      <c r="B1" s="498" t="s">
        <v>158</v>
      </c>
      <c r="C1" s="498"/>
      <c r="D1" s="498"/>
      <c r="E1" s="164"/>
    </row>
    <row r="2" spans="2:5" ht="12.75" customHeight="1">
      <c r="B2" s="499" t="s">
        <v>506</v>
      </c>
      <c r="C2" s="499"/>
      <c r="D2" s="499"/>
      <c r="E2" s="164"/>
    </row>
    <row r="4" spans="2:5" s="93" customFormat="1" ht="12.75" customHeight="1">
      <c r="B4" s="269" t="s">
        <v>22</v>
      </c>
      <c r="C4" s="270" t="s">
        <v>24</v>
      </c>
      <c r="D4" s="265" t="s">
        <v>322</v>
      </c>
      <c r="E4" s="452" t="s">
        <v>503</v>
      </c>
    </row>
    <row r="5" spans="2:5" s="94" customFormat="1" ht="12.75" customHeight="1">
      <c r="B5" s="80">
        <v>801</v>
      </c>
      <c r="C5" s="29" t="s">
        <v>9</v>
      </c>
      <c r="D5" s="456">
        <f>D6+D8+D9+D10+D12+D11+D7</f>
        <v>15213447</v>
      </c>
      <c r="E5" s="178">
        <f>D5/41721729.33%</f>
        <v>36.46408536824665</v>
      </c>
    </row>
    <row r="6" spans="2:5" ht="12.75" customHeight="1">
      <c r="B6" s="75">
        <v>80101</v>
      </c>
      <c r="C6" s="32" t="s">
        <v>43</v>
      </c>
      <c r="D6" s="453">
        <f>Wydatki!C104-502653.8</f>
        <v>8410495</v>
      </c>
      <c r="E6" s="178">
        <f aca="true" t="shared" si="0" ref="E6:E28">D6/41721729.33%</f>
        <v>20.15854839926886</v>
      </c>
    </row>
    <row r="7" spans="2:5" s="94" customFormat="1" ht="12.75" customHeight="1">
      <c r="B7" s="75">
        <v>80103</v>
      </c>
      <c r="C7" s="32" t="s">
        <v>268</v>
      </c>
      <c r="D7" s="454">
        <f>Wydatki!C113</f>
        <v>530600</v>
      </c>
      <c r="E7" s="178">
        <f t="shared" si="0"/>
        <v>1.2717593650138377</v>
      </c>
    </row>
    <row r="8" spans="2:5" ht="12.75" customHeight="1">
      <c r="B8" s="75">
        <v>80104</v>
      </c>
      <c r="C8" s="32" t="s">
        <v>251</v>
      </c>
      <c r="D8" s="453">
        <f>Wydatki!C117</f>
        <v>1152000</v>
      </c>
      <c r="E8" s="178">
        <f t="shared" si="0"/>
        <v>2.7611511279606877</v>
      </c>
    </row>
    <row r="9" spans="2:5" s="94" customFormat="1" ht="12.75" customHeight="1">
      <c r="B9" s="75">
        <v>80110</v>
      </c>
      <c r="C9" s="32" t="s">
        <v>44</v>
      </c>
      <c r="D9" s="453">
        <f>Wydatki!C119</f>
        <v>3200595</v>
      </c>
      <c r="E9" s="178">
        <f t="shared" si="0"/>
        <v>7.671290359718175</v>
      </c>
    </row>
    <row r="10" spans="2:5" ht="12.75" customHeight="1">
      <c r="B10" s="75">
        <v>80113</v>
      </c>
      <c r="C10" s="32" t="s">
        <v>45</v>
      </c>
      <c r="D10" s="453">
        <f>Wydatki!C123</f>
        <v>360850</v>
      </c>
      <c r="E10" s="178">
        <f t="shared" si="0"/>
        <v>0.8648970351776165</v>
      </c>
    </row>
    <row r="11" spans="2:5" ht="12.75" customHeight="1">
      <c r="B11" s="188">
        <v>80146</v>
      </c>
      <c r="C11" s="191" t="s">
        <v>89</v>
      </c>
      <c r="D11" s="455">
        <f>Wydatki!C127</f>
        <v>63907</v>
      </c>
      <c r="E11" s="178">
        <f t="shared" si="0"/>
        <v>0.15317437945710388</v>
      </c>
    </row>
    <row r="12" spans="2:5" s="94" customFormat="1" ht="12.75" customHeight="1">
      <c r="B12" s="81">
        <v>80195</v>
      </c>
      <c r="C12" s="96" t="s">
        <v>79</v>
      </c>
      <c r="D12" s="457">
        <f>Wydatki!C131</f>
        <v>1495000</v>
      </c>
      <c r="E12" s="178">
        <f t="shared" si="0"/>
        <v>3.583264701650372</v>
      </c>
    </row>
    <row r="13" spans="2:5" ht="12.75" customHeight="1">
      <c r="B13" s="80">
        <v>854</v>
      </c>
      <c r="C13" s="29" t="s">
        <v>54</v>
      </c>
      <c r="D13" s="251">
        <f>D14+D15+D16</f>
        <v>668375</v>
      </c>
      <c r="E13" s="178">
        <f t="shared" si="0"/>
        <v>1.6019829732211153</v>
      </c>
    </row>
    <row r="14" spans="2:5" s="94" customFormat="1" ht="12.75" customHeight="1">
      <c r="B14" s="75">
        <v>85401</v>
      </c>
      <c r="C14" s="32" t="s">
        <v>55</v>
      </c>
      <c r="D14" s="252">
        <f>Wydatki!C180</f>
        <v>647150</v>
      </c>
      <c r="E14" s="178">
        <f t="shared" si="0"/>
        <v>1.5511102017879854</v>
      </c>
    </row>
    <row r="15" spans="2:5" s="94" customFormat="1" ht="12.75" customHeight="1">
      <c r="B15" s="75">
        <v>85415</v>
      </c>
      <c r="C15" s="32" t="s">
        <v>345</v>
      </c>
      <c r="D15" s="244">
        <f>Wydatki!C184</f>
        <v>20000</v>
      </c>
      <c r="E15" s="178">
        <f t="shared" si="0"/>
        <v>0.047936651527095274</v>
      </c>
    </row>
    <row r="16" spans="2:5" ht="12.75" customHeight="1">
      <c r="B16" s="357">
        <v>85446</v>
      </c>
      <c r="C16" s="447" t="s">
        <v>89</v>
      </c>
      <c r="D16" s="451">
        <f>Wydatki!C186</f>
        <v>1225</v>
      </c>
      <c r="E16" s="178">
        <f t="shared" si="0"/>
        <v>0.0029361199060345855</v>
      </c>
    </row>
    <row r="17" spans="2:5" s="94" customFormat="1" ht="12.75" customHeight="1">
      <c r="B17" s="84">
        <v>921</v>
      </c>
      <c r="C17" s="109" t="s">
        <v>11</v>
      </c>
      <c r="D17" s="231">
        <f>D18+D19+D20</f>
        <v>1120000</v>
      </c>
      <c r="E17" s="178">
        <f t="shared" si="0"/>
        <v>2.6844524855173355</v>
      </c>
    </row>
    <row r="18" spans="2:5" ht="12.75" customHeight="1">
      <c r="B18" s="77">
        <v>92109</v>
      </c>
      <c r="C18" s="108" t="s">
        <v>61</v>
      </c>
      <c r="D18" s="250">
        <f>Wydatki!C217</f>
        <v>490000</v>
      </c>
      <c r="E18" s="178">
        <f t="shared" si="0"/>
        <v>1.1744479624138342</v>
      </c>
    </row>
    <row r="19" spans="2:5" s="94" customFormat="1" ht="12.75" customHeight="1">
      <c r="B19" s="77">
        <v>92116</v>
      </c>
      <c r="C19" s="108" t="s">
        <v>62</v>
      </c>
      <c r="D19" s="233">
        <f>Wydatki!C219</f>
        <v>560000</v>
      </c>
      <c r="E19" s="178">
        <f t="shared" si="0"/>
        <v>1.3422262427586678</v>
      </c>
    </row>
    <row r="20" spans="2:5" ht="12.75" customHeight="1">
      <c r="B20" s="77">
        <v>92195</v>
      </c>
      <c r="C20" s="108" t="s">
        <v>27</v>
      </c>
      <c r="D20" s="233">
        <f>Wydatki!C221</f>
        <v>70000</v>
      </c>
      <c r="E20" s="178">
        <f t="shared" si="0"/>
        <v>0.16777828034483347</v>
      </c>
    </row>
    <row r="21" spans="2:5" ht="12.75" customHeight="1">
      <c r="B21" s="80">
        <v>926</v>
      </c>
      <c r="C21" s="29" t="s">
        <v>63</v>
      </c>
      <c r="D21" s="251">
        <f>D22</f>
        <v>170000</v>
      </c>
      <c r="E21" s="178">
        <f t="shared" si="0"/>
        <v>0.4074615379803098</v>
      </c>
    </row>
    <row r="22" spans="2:5" s="94" customFormat="1" ht="12.75" customHeight="1">
      <c r="B22" s="81">
        <v>92605</v>
      </c>
      <c r="C22" s="96" t="s">
        <v>145</v>
      </c>
      <c r="D22" s="458">
        <f>Wydatki!C224-63000</f>
        <v>170000</v>
      </c>
      <c r="E22" s="178">
        <f t="shared" si="0"/>
        <v>0.4074615379803098</v>
      </c>
    </row>
    <row r="23" spans="2:5" s="94" customFormat="1" ht="12.75" customHeight="1">
      <c r="B23" s="84">
        <v>851</v>
      </c>
      <c r="C23" s="120" t="s">
        <v>46</v>
      </c>
      <c r="D23" s="232">
        <f>D24+D25</f>
        <v>180000</v>
      </c>
      <c r="E23" s="178">
        <f t="shared" si="0"/>
        <v>0.43142986374385744</v>
      </c>
    </row>
    <row r="24" spans="2:5" ht="12.75" customHeight="1">
      <c r="B24" s="77">
        <v>85153</v>
      </c>
      <c r="C24" s="112" t="s">
        <v>422</v>
      </c>
      <c r="D24" s="233">
        <f>Wydatki!C136</f>
        <v>10000</v>
      </c>
      <c r="E24" s="178">
        <f t="shared" si="0"/>
        <v>0.023968325763547637</v>
      </c>
    </row>
    <row r="25" spans="2:5" ht="12.75" customHeight="1">
      <c r="B25" s="82">
        <v>85154</v>
      </c>
      <c r="C25" s="121" t="s">
        <v>47</v>
      </c>
      <c r="D25" s="234">
        <f>Wydatki!C138</f>
        <v>170000</v>
      </c>
      <c r="E25" s="178">
        <f t="shared" si="0"/>
        <v>0.4074615379803098</v>
      </c>
    </row>
    <row r="26" spans="2:5" s="94" customFormat="1" ht="12.75" customHeight="1">
      <c r="B26" s="29">
        <v>630</v>
      </c>
      <c r="C26" s="109" t="s">
        <v>5</v>
      </c>
      <c r="D26" s="232">
        <f>D27</f>
        <v>105000</v>
      </c>
      <c r="E26" s="178">
        <f t="shared" si="0"/>
        <v>0.25166742051725016</v>
      </c>
    </row>
    <row r="27" spans="2:5" ht="12.75" customHeight="1">
      <c r="B27" s="32">
        <v>63001</v>
      </c>
      <c r="C27" s="108" t="s">
        <v>30</v>
      </c>
      <c r="D27" s="233">
        <f>Wydatki!C43</f>
        <v>105000</v>
      </c>
      <c r="E27" s="178">
        <f t="shared" si="0"/>
        <v>0.25166742051725016</v>
      </c>
    </row>
    <row r="28" spans="2:5" ht="12.75" customHeight="1">
      <c r="B28" s="459"/>
      <c r="C28" s="460" t="s">
        <v>12</v>
      </c>
      <c r="D28" s="461">
        <f>D5+D13+D17+D21+D23+D26</f>
        <v>17456822</v>
      </c>
      <c r="E28" s="178">
        <f t="shared" si="0"/>
        <v>41.84107964922652</v>
      </c>
    </row>
    <row r="30" spans="2:5" ht="12.75" customHeight="1">
      <c r="B30" s="269" t="s">
        <v>22</v>
      </c>
      <c r="C30" s="270" t="s">
        <v>24</v>
      </c>
      <c r="D30" s="265" t="s">
        <v>322</v>
      </c>
      <c r="E30" s="452" t="s">
        <v>503</v>
      </c>
    </row>
    <row r="31" spans="2:5" s="94" customFormat="1" ht="12.75" customHeight="1">
      <c r="B31" s="29">
        <v>852</v>
      </c>
      <c r="C31" s="29" t="s">
        <v>106</v>
      </c>
      <c r="D31" s="231">
        <f>D33+D35+D36+D37+D38+D39+D40+D34+D32</f>
        <v>9703272</v>
      </c>
      <c r="E31" s="178">
        <f aca="true" t="shared" si="1" ref="E31:E43">D31/41721729.33%</f>
        <v>23.257118426831042</v>
      </c>
    </row>
    <row r="32" spans="2:5" ht="12.75" customHeight="1">
      <c r="B32" s="32">
        <v>85202</v>
      </c>
      <c r="C32" s="32" t="s">
        <v>267</v>
      </c>
      <c r="D32" s="233">
        <f>Wydatki!C144</f>
        <v>150000</v>
      </c>
      <c r="E32" s="178">
        <f t="shared" si="1"/>
        <v>0.35952488645321456</v>
      </c>
    </row>
    <row r="33" spans="2:5" s="94" customFormat="1" ht="12.75" customHeight="1">
      <c r="B33" s="191">
        <v>85203</v>
      </c>
      <c r="C33" s="191" t="s">
        <v>48</v>
      </c>
      <c r="D33" s="254">
        <f>Wydatki!C146</f>
        <v>407472</v>
      </c>
      <c r="E33" s="178">
        <f t="shared" si="1"/>
        <v>0.9766421635524283</v>
      </c>
    </row>
    <row r="34" spans="2:5" ht="15" customHeight="1">
      <c r="B34" s="197">
        <v>85212</v>
      </c>
      <c r="C34" s="32" t="s">
        <v>237</v>
      </c>
      <c r="D34" s="248">
        <f>Wydatki!C152</f>
        <v>5881000</v>
      </c>
      <c r="E34" s="178">
        <f t="shared" si="1"/>
        <v>14.095772381542366</v>
      </c>
    </row>
    <row r="35" spans="2:5" ht="12.75" customHeight="1">
      <c r="B35" s="32">
        <v>85213</v>
      </c>
      <c r="C35" s="32" t="s">
        <v>49</v>
      </c>
      <c r="D35" s="233">
        <f>Wydatki!C156</f>
        <v>27800</v>
      </c>
      <c r="E35" s="178">
        <f t="shared" si="1"/>
        <v>0.06663194562266243</v>
      </c>
    </row>
    <row r="36" spans="2:5" ht="12.75" customHeight="1">
      <c r="B36" s="32">
        <v>85214</v>
      </c>
      <c r="C36" s="32" t="s">
        <v>66</v>
      </c>
      <c r="D36" s="233">
        <f>Wydatki!C158</f>
        <v>1017100</v>
      </c>
      <c r="E36" s="178">
        <f t="shared" si="1"/>
        <v>2.4378184134104304</v>
      </c>
    </row>
    <row r="37" spans="2:5" s="94" customFormat="1" ht="12.75" customHeight="1">
      <c r="B37" s="32">
        <v>85215</v>
      </c>
      <c r="C37" s="32" t="s">
        <v>51</v>
      </c>
      <c r="D37" s="233">
        <f>Wydatki!C162</f>
        <v>1200000</v>
      </c>
      <c r="E37" s="178">
        <f t="shared" si="1"/>
        <v>2.8761990916257165</v>
      </c>
    </row>
    <row r="38" spans="2:5" ht="12.75" customHeight="1">
      <c r="B38" s="32">
        <v>85219</v>
      </c>
      <c r="C38" s="32" t="s">
        <v>52</v>
      </c>
      <c r="D38" s="233">
        <f>Wydatki!C164</f>
        <v>534000</v>
      </c>
      <c r="E38" s="178">
        <f t="shared" si="1"/>
        <v>1.2799085957734437</v>
      </c>
    </row>
    <row r="39" spans="2:5" s="94" customFormat="1" ht="12.75" customHeight="1">
      <c r="B39" s="75">
        <v>85228</v>
      </c>
      <c r="C39" s="32" t="s">
        <v>53</v>
      </c>
      <c r="D39" s="237">
        <f>Wydatki!C168</f>
        <v>183900</v>
      </c>
      <c r="E39" s="178">
        <f t="shared" si="1"/>
        <v>0.44077751079164107</v>
      </c>
    </row>
    <row r="40" spans="2:5" ht="12.75" customHeight="1">
      <c r="B40" s="75">
        <v>85295</v>
      </c>
      <c r="C40" s="32" t="s">
        <v>27</v>
      </c>
      <c r="D40" s="237">
        <f>Wydatki!C172</f>
        <v>302000</v>
      </c>
      <c r="E40" s="178">
        <f t="shared" si="1"/>
        <v>0.7238434380591386</v>
      </c>
    </row>
    <row r="41" spans="2:5" s="94" customFormat="1" ht="12.75" customHeight="1">
      <c r="B41" s="80">
        <v>853</v>
      </c>
      <c r="C41" s="14" t="s">
        <v>372</v>
      </c>
      <c r="D41" s="245">
        <f>D42</f>
        <v>549226</v>
      </c>
      <c r="E41" s="178">
        <f t="shared" si="1"/>
        <v>1.3164027685810213</v>
      </c>
    </row>
    <row r="42" spans="2:5" s="94" customFormat="1" ht="12.75" customHeight="1">
      <c r="B42" s="75">
        <v>85395</v>
      </c>
      <c r="C42" s="32" t="s">
        <v>27</v>
      </c>
      <c r="D42" s="244">
        <f>Wydatki!C175</f>
        <v>549226</v>
      </c>
      <c r="E42" s="178">
        <f t="shared" si="1"/>
        <v>1.3164027685810213</v>
      </c>
    </row>
    <row r="43" spans="2:5" ht="12.75" customHeight="1">
      <c r="B43" s="459"/>
      <c r="C43" s="460" t="s">
        <v>12</v>
      </c>
      <c r="D43" s="461">
        <f>D31+D41</f>
        <v>10252498</v>
      </c>
      <c r="E43" s="178">
        <f t="shared" si="1"/>
        <v>24.573521195412063</v>
      </c>
    </row>
    <row r="45" spans="2:5" ht="12.75" customHeight="1">
      <c r="B45" s="269" t="s">
        <v>22</v>
      </c>
      <c r="C45" s="270" t="s">
        <v>24</v>
      </c>
      <c r="D45" s="265" t="s">
        <v>322</v>
      </c>
      <c r="E45" s="452" t="s">
        <v>503</v>
      </c>
    </row>
    <row r="46" spans="2:5" ht="12.75" customHeight="1">
      <c r="B46" s="80">
        <v>400</v>
      </c>
      <c r="C46" s="29" t="s">
        <v>84</v>
      </c>
      <c r="D46" s="232">
        <f>D48+D47</f>
        <v>281200</v>
      </c>
      <c r="E46" s="178">
        <f aca="true" t="shared" si="2" ref="E46:E60">D46/41721729.33%</f>
        <v>0.6739893204709596</v>
      </c>
    </row>
    <row r="47" spans="2:5" ht="12.75" customHeight="1">
      <c r="B47" s="75">
        <v>40002</v>
      </c>
      <c r="C47" s="32" t="s">
        <v>107</v>
      </c>
      <c r="D47" s="243">
        <f>Wydatki!C14-42000</f>
        <v>277200</v>
      </c>
      <c r="E47" s="178">
        <f t="shared" si="2"/>
        <v>0.6644019901655405</v>
      </c>
    </row>
    <row r="48" spans="2:5" ht="12.75" customHeight="1">
      <c r="B48" s="81">
        <v>40095</v>
      </c>
      <c r="C48" s="96" t="s">
        <v>27</v>
      </c>
      <c r="D48" s="241">
        <f>Wydatki!C18</f>
        <v>4000</v>
      </c>
      <c r="E48" s="178">
        <f t="shared" si="2"/>
        <v>0.009587330305419054</v>
      </c>
    </row>
    <row r="49" spans="2:5" ht="12.75" customHeight="1">
      <c r="B49" s="29">
        <v>600</v>
      </c>
      <c r="C49" s="29" t="s">
        <v>4</v>
      </c>
      <c r="D49" s="232">
        <f>D50</f>
        <v>300000</v>
      </c>
      <c r="E49" s="178">
        <f t="shared" si="2"/>
        <v>0.7190497729064291</v>
      </c>
    </row>
    <row r="50" spans="2:5" ht="12.75" customHeight="1">
      <c r="B50" s="32">
        <v>60016</v>
      </c>
      <c r="C50" s="32" t="s">
        <v>29</v>
      </c>
      <c r="D50" s="233">
        <f>Wydatki!C29-840000</f>
        <v>300000</v>
      </c>
      <c r="E50" s="178">
        <f t="shared" si="2"/>
        <v>0.7190497729064291</v>
      </c>
    </row>
    <row r="51" spans="2:5" ht="12.75" customHeight="1">
      <c r="B51" s="80">
        <v>700</v>
      </c>
      <c r="C51" s="29" t="s">
        <v>6</v>
      </c>
      <c r="D51" s="236">
        <f>D53+D52</f>
        <v>178492</v>
      </c>
      <c r="E51" s="178">
        <f t="shared" si="2"/>
        <v>0.4278154402187145</v>
      </c>
    </row>
    <row r="52" spans="2:5" ht="12.75" customHeight="1">
      <c r="B52" s="75">
        <v>70004</v>
      </c>
      <c r="C52" s="79" t="s">
        <v>159</v>
      </c>
      <c r="D52" s="237">
        <f>Wydatki!C48</f>
        <v>48492</v>
      </c>
      <c r="E52" s="178">
        <f t="shared" si="2"/>
        <v>0.1162272052925952</v>
      </c>
    </row>
    <row r="53" spans="2:5" ht="12.75" customHeight="1">
      <c r="B53" s="75">
        <v>70005</v>
      </c>
      <c r="C53" s="32" t="s">
        <v>31</v>
      </c>
      <c r="D53" s="237">
        <f>Wydatki!C50-210000</f>
        <v>130000</v>
      </c>
      <c r="E53" s="178">
        <f t="shared" si="2"/>
        <v>0.31158823492611926</v>
      </c>
    </row>
    <row r="54" spans="2:5" ht="12.75" customHeight="1">
      <c r="B54" s="80">
        <v>900</v>
      </c>
      <c r="C54" s="29" t="s">
        <v>10</v>
      </c>
      <c r="D54" s="231">
        <f>D55+D56+D57+D58+D59</f>
        <v>1100000</v>
      </c>
      <c r="E54" s="178">
        <f t="shared" si="2"/>
        <v>2.63651583399024</v>
      </c>
    </row>
    <row r="55" spans="2:5" ht="12.75" customHeight="1">
      <c r="B55" s="75">
        <v>90001</v>
      </c>
      <c r="C55" s="32" t="s">
        <v>56</v>
      </c>
      <c r="D55" s="250">
        <f>Wydatki!C189-60000</f>
        <v>209000</v>
      </c>
      <c r="E55" s="178">
        <f t="shared" si="2"/>
        <v>0.5009380084581456</v>
      </c>
    </row>
    <row r="56" spans="2:5" ht="12.75" customHeight="1">
      <c r="B56" s="75">
        <v>90003</v>
      </c>
      <c r="C56" s="32" t="s">
        <v>58</v>
      </c>
      <c r="D56" s="250">
        <f>Wydatki!C197</f>
        <v>400000</v>
      </c>
      <c r="E56" s="178">
        <f t="shared" si="2"/>
        <v>0.9587330305419055</v>
      </c>
    </row>
    <row r="57" spans="2:5" ht="12.75" customHeight="1">
      <c r="B57" s="75">
        <v>90004</v>
      </c>
      <c r="C57" s="32" t="s">
        <v>59</v>
      </c>
      <c r="D57" s="250">
        <f>Wydatki!C201</f>
        <v>45000</v>
      </c>
      <c r="E57" s="178">
        <f t="shared" si="2"/>
        <v>0.10785746593596436</v>
      </c>
    </row>
    <row r="58" spans="2:5" ht="12.75" customHeight="1">
      <c r="B58" s="75">
        <v>90015</v>
      </c>
      <c r="C58" s="32" t="s">
        <v>60</v>
      </c>
      <c r="D58" s="250">
        <f>Wydatki!C203-130000</f>
        <v>400000</v>
      </c>
      <c r="E58" s="178">
        <f t="shared" si="2"/>
        <v>0.9587330305419055</v>
      </c>
    </row>
    <row r="59" spans="2:5" ht="12.75" customHeight="1">
      <c r="B59" s="81">
        <v>90095</v>
      </c>
      <c r="C59" s="96" t="s">
        <v>27</v>
      </c>
      <c r="D59" s="462">
        <f>Wydatki!C212</f>
        <v>46000</v>
      </c>
      <c r="E59" s="178">
        <f t="shared" si="2"/>
        <v>0.11025429851231913</v>
      </c>
    </row>
    <row r="60" spans="2:5" ht="12.75" customHeight="1">
      <c r="B60" s="459"/>
      <c r="C60" s="460" t="s">
        <v>12</v>
      </c>
      <c r="D60" s="461">
        <f>D46+D49+D51+D54</f>
        <v>1859692</v>
      </c>
      <c r="E60" s="178">
        <f t="shared" si="2"/>
        <v>4.457370367586344</v>
      </c>
    </row>
    <row r="61" s="94" customFormat="1" ht="12.75" customHeight="1"/>
    <row r="62" spans="2:5" ht="12.75" customHeight="1">
      <c r="B62" s="269" t="s">
        <v>22</v>
      </c>
      <c r="C62" s="270" t="s">
        <v>24</v>
      </c>
      <c r="D62" s="265" t="s">
        <v>322</v>
      </c>
      <c r="E62" s="452" t="s">
        <v>503</v>
      </c>
    </row>
    <row r="63" spans="2:5" ht="12.75" customHeight="1">
      <c r="B63" s="84">
        <v>750</v>
      </c>
      <c r="C63" s="109" t="s">
        <v>7</v>
      </c>
      <c r="D63" s="232">
        <f>D64+D65+D66+D67</f>
        <v>2870000</v>
      </c>
      <c r="E63" s="178">
        <f aca="true" t="shared" si="3" ref="E63:E68">D63/41721729.33%</f>
        <v>6.878909494138171</v>
      </c>
    </row>
    <row r="64" spans="2:5" ht="12.75" customHeight="1">
      <c r="B64" s="77">
        <v>75011</v>
      </c>
      <c r="C64" s="108" t="s">
        <v>34</v>
      </c>
      <c r="D64" s="233">
        <f>Wydatki!C66</f>
        <v>206000</v>
      </c>
      <c r="E64" s="178">
        <f t="shared" si="3"/>
        <v>0.4937475107290813</v>
      </c>
    </row>
    <row r="65" spans="2:5" s="94" customFormat="1" ht="12.75" customHeight="1">
      <c r="B65" s="77">
        <v>75022</v>
      </c>
      <c r="C65" s="108" t="s">
        <v>35</v>
      </c>
      <c r="D65" s="233">
        <f>Wydatki!C70</f>
        <v>120000</v>
      </c>
      <c r="E65" s="178">
        <f t="shared" si="3"/>
        <v>0.28761990916257163</v>
      </c>
    </row>
    <row r="66" spans="2:5" ht="12.75" customHeight="1">
      <c r="B66" s="77">
        <v>75023</v>
      </c>
      <c r="C66" s="108" t="s">
        <v>36</v>
      </c>
      <c r="D66" s="233">
        <f>Wydatki!C72-150000</f>
        <v>2444000</v>
      </c>
      <c r="E66" s="178">
        <f t="shared" si="3"/>
        <v>5.857858816611042</v>
      </c>
    </row>
    <row r="67" spans="2:5" ht="12.75" customHeight="1">
      <c r="B67" s="82">
        <v>75095</v>
      </c>
      <c r="C67" s="110" t="s">
        <v>27</v>
      </c>
      <c r="D67" s="234">
        <f>Wydatki!C79</f>
        <v>100000</v>
      </c>
      <c r="E67" s="178">
        <f t="shared" si="3"/>
        <v>0.23968325763547638</v>
      </c>
    </row>
    <row r="68" spans="2:5" ht="12.75" customHeight="1">
      <c r="B68" s="459"/>
      <c r="C68" s="460" t="s">
        <v>12</v>
      </c>
      <c r="D68" s="461">
        <f>D63</f>
        <v>2870000</v>
      </c>
      <c r="E68" s="178">
        <f t="shared" si="3"/>
        <v>6.878909494138171</v>
      </c>
    </row>
    <row r="70" spans="2:5" ht="12.75" customHeight="1">
      <c r="B70" s="269" t="s">
        <v>22</v>
      </c>
      <c r="C70" s="270" t="s">
        <v>24</v>
      </c>
      <c r="D70" s="265" t="s">
        <v>322</v>
      </c>
      <c r="E70" s="452" t="s">
        <v>503</v>
      </c>
    </row>
    <row r="71" spans="2:5" ht="12.75" customHeight="1">
      <c r="B71" s="69" t="s">
        <v>67</v>
      </c>
      <c r="C71" s="29" t="s">
        <v>23</v>
      </c>
      <c r="D71" s="232">
        <f>D72</f>
        <v>4500</v>
      </c>
      <c r="E71" s="178">
        <f aca="true" t="shared" si="4" ref="E71:E91">D71/41721729.33%</f>
        <v>0.010785746593596436</v>
      </c>
    </row>
    <row r="72" spans="2:5" ht="12.75" customHeight="1">
      <c r="B72" s="71" t="s">
        <v>68</v>
      </c>
      <c r="C72" s="96" t="s">
        <v>25</v>
      </c>
      <c r="D72" s="234">
        <f>Wydatki!C6</f>
        <v>4500</v>
      </c>
      <c r="E72" s="178">
        <f t="shared" si="4"/>
        <v>0.010785746593596436</v>
      </c>
    </row>
    <row r="73" spans="2:5" ht="12.75" customHeight="1">
      <c r="B73" s="72" t="s">
        <v>69</v>
      </c>
      <c r="C73" s="111" t="s">
        <v>3</v>
      </c>
      <c r="D73" s="242">
        <f>D74</f>
        <v>43000</v>
      </c>
      <c r="E73" s="178">
        <f t="shared" si="4"/>
        <v>0.10306380078325483</v>
      </c>
    </row>
    <row r="74" spans="2:5" ht="12.75" customHeight="1">
      <c r="B74" s="73" t="s">
        <v>70</v>
      </c>
      <c r="C74" s="112" t="s">
        <v>26</v>
      </c>
      <c r="D74" s="233">
        <f>Wydatki!C9</f>
        <v>43000</v>
      </c>
      <c r="E74" s="178">
        <f t="shared" si="4"/>
        <v>0.10306380078325483</v>
      </c>
    </row>
    <row r="75" spans="2:5" ht="12.75" customHeight="1">
      <c r="B75" s="84">
        <v>500</v>
      </c>
      <c r="C75" s="120" t="s">
        <v>28</v>
      </c>
      <c r="D75" s="232">
        <f>D76</f>
        <v>41000</v>
      </c>
      <c r="E75" s="178">
        <f t="shared" si="4"/>
        <v>0.0982701356305453</v>
      </c>
    </row>
    <row r="76" spans="2:5" ht="12.75" customHeight="1">
      <c r="B76" s="82">
        <v>50095</v>
      </c>
      <c r="C76" s="121" t="s">
        <v>27</v>
      </c>
      <c r="D76" s="234">
        <f>Wydatki!C21</f>
        <v>41000</v>
      </c>
      <c r="E76" s="178">
        <f t="shared" si="4"/>
        <v>0.0982701356305453</v>
      </c>
    </row>
    <row r="77" spans="2:5" ht="12.75" customHeight="1">
      <c r="B77" s="80">
        <v>710</v>
      </c>
      <c r="C77" s="29" t="s">
        <v>32</v>
      </c>
      <c r="D77" s="456">
        <f>D79+D80+D78</f>
        <v>207000</v>
      </c>
      <c r="E77" s="178">
        <f t="shared" si="4"/>
        <v>0.4961443433054361</v>
      </c>
    </row>
    <row r="78" spans="2:5" ht="12.75" customHeight="1">
      <c r="B78" s="75">
        <v>71004</v>
      </c>
      <c r="C78" s="32" t="s">
        <v>173</v>
      </c>
      <c r="D78" s="453">
        <f>Wydatki!C57</f>
        <v>150000</v>
      </c>
      <c r="E78" s="178">
        <f t="shared" si="4"/>
        <v>0.35952488645321456</v>
      </c>
    </row>
    <row r="79" spans="2:5" ht="12.75" customHeight="1">
      <c r="B79" s="75">
        <v>71035</v>
      </c>
      <c r="C79" s="32" t="s">
        <v>33</v>
      </c>
      <c r="D79" s="453">
        <f>Wydatki!C59-50000</f>
        <v>30000</v>
      </c>
      <c r="E79" s="178">
        <f t="shared" si="4"/>
        <v>0.07190497729064291</v>
      </c>
    </row>
    <row r="80" spans="2:5" ht="12.75" customHeight="1">
      <c r="B80" s="81">
        <v>71095</v>
      </c>
      <c r="C80" s="96" t="s">
        <v>27</v>
      </c>
      <c r="D80" s="457">
        <f>Wydatki!C63</f>
        <v>27000</v>
      </c>
      <c r="E80" s="178">
        <f t="shared" si="4"/>
        <v>0.06471447956157862</v>
      </c>
    </row>
    <row r="81" spans="2:5" ht="12.75" customHeight="1">
      <c r="B81" s="80">
        <v>751</v>
      </c>
      <c r="C81" s="101" t="s">
        <v>271</v>
      </c>
      <c r="D81" s="236">
        <f>D82</f>
        <v>2866</v>
      </c>
      <c r="E81" s="178">
        <f t="shared" si="4"/>
        <v>0.006869322163832753</v>
      </c>
    </row>
    <row r="82" spans="2:5" ht="12.75" customHeight="1">
      <c r="B82" s="81">
        <v>75101</v>
      </c>
      <c r="C82" s="96" t="s">
        <v>271</v>
      </c>
      <c r="D82" s="238">
        <f>Wydatki!C82</f>
        <v>2866</v>
      </c>
      <c r="E82" s="178">
        <f t="shared" si="4"/>
        <v>0.006869322163832753</v>
      </c>
    </row>
    <row r="83" spans="2:5" ht="12.75" customHeight="1">
      <c r="B83" s="438">
        <v>754</v>
      </c>
      <c r="C83" s="78" t="s">
        <v>38</v>
      </c>
      <c r="D83" s="439">
        <f>D84</f>
        <v>110000</v>
      </c>
      <c r="E83" s="178">
        <f t="shared" si="4"/>
        <v>0.263651583399024</v>
      </c>
    </row>
    <row r="84" spans="2:5" ht="12.75" customHeight="1">
      <c r="B84" s="75">
        <v>75412</v>
      </c>
      <c r="C84" s="32" t="s">
        <v>39</v>
      </c>
      <c r="D84" s="237">
        <f>Wydatki!C86-5000</f>
        <v>110000</v>
      </c>
      <c r="E84" s="178">
        <f t="shared" si="4"/>
        <v>0.263651583399024</v>
      </c>
    </row>
    <row r="85" spans="2:5" ht="12.75" customHeight="1">
      <c r="B85" s="80">
        <v>756</v>
      </c>
      <c r="C85" s="29" t="s">
        <v>374</v>
      </c>
      <c r="D85" s="245">
        <f>D86</f>
        <v>46000</v>
      </c>
      <c r="E85" s="178">
        <f t="shared" si="4"/>
        <v>0.11025429851231913</v>
      </c>
    </row>
    <row r="86" spans="2:5" ht="12.75" customHeight="1">
      <c r="B86" s="81">
        <v>75647</v>
      </c>
      <c r="C86" s="96" t="s">
        <v>37</v>
      </c>
      <c r="D86" s="238">
        <f>Wydatki!C93</f>
        <v>46000</v>
      </c>
      <c r="E86" s="178">
        <f t="shared" si="4"/>
        <v>0.11025429851231913</v>
      </c>
    </row>
    <row r="87" spans="2:5" ht="12.75" customHeight="1">
      <c r="B87" s="76">
        <v>757</v>
      </c>
      <c r="C87" s="111" t="s">
        <v>40</v>
      </c>
      <c r="D87" s="242">
        <f>D88</f>
        <v>420000</v>
      </c>
      <c r="E87" s="178">
        <f t="shared" si="4"/>
        <v>1.0066696820690006</v>
      </c>
    </row>
    <row r="88" spans="2:5" ht="12.75" customHeight="1">
      <c r="B88" s="77">
        <v>75702</v>
      </c>
      <c r="C88" s="112" t="s">
        <v>86</v>
      </c>
      <c r="D88" s="233">
        <f>Wydatki!C98</f>
        <v>420000</v>
      </c>
      <c r="E88" s="178">
        <f t="shared" si="4"/>
        <v>1.0066696820690006</v>
      </c>
    </row>
    <row r="89" spans="2:5" ht="12.75" customHeight="1">
      <c r="B89" s="84">
        <v>758</v>
      </c>
      <c r="C89" s="120" t="s">
        <v>8</v>
      </c>
      <c r="D89" s="232">
        <f>D90</f>
        <v>150000</v>
      </c>
      <c r="E89" s="178">
        <f t="shared" si="4"/>
        <v>0.35952488645321456</v>
      </c>
    </row>
    <row r="90" spans="2:5" ht="12.75" customHeight="1">
      <c r="B90" s="77">
        <v>75818</v>
      </c>
      <c r="C90" s="112" t="s">
        <v>41</v>
      </c>
      <c r="D90" s="233">
        <f>Wydatki!C102</f>
        <v>150000</v>
      </c>
      <c r="E90" s="178">
        <f t="shared" si="4"/>
        <v>0.35952488645321456</v>
      </c>
    </row>
    <row r="91" spans="2:5" ht="12.75" customHeight="1">
      <c r="B91" s="459"/>
      <c r="C91" s="460" t="s">
        <v>12</v>
      </c>
      <c r="D91" s="461">
        <f>D71+D73+D75+D77+D81+D83+D85+D87+D89</f>
        <v>1024366</v>
      </c>
      <c r="E91" s="178">
        <f t="shared" si="4"/>
        <v>2.455233798910224</v>
      </c>
    </row>
    <row r="93" spans="2:5" ht="12.75" customHeight="1">
      <c r="B93" s="269" t="s">
        <v>22</v>
      </c>
      <c r="C93" s="270" t="s">
        <v>57</v>
      </c>
      <c r="D93" s="265" t="s">
        <v>322</v>
      </c>
      <c r="E93" s="478"/>
    </row>
    <row r="94" spans="2:5" ht="12.75" customHeight="1">
      <c r="B94" s="80">
        <v>400</v>
      </c>
      <c r="C94" s="29" t="s">
        <v>84</v>
      </c>
      <c r="D94" s="464">
        <f>D95</f>
        <v>42000</v>
      </c>
      <c r="E94" s="178">
        <f aca="true" t="shared" si="5" ref="E94:E157">D94/41721729.33%</f>
        <v>0.10066696820690008</v>
      </c>
    </row>
    <row r="95" spans="2:5" ht="12.75" customHeight="1">
      <c r="B95" s="75">
        <v>40002</v>
      </c>
      <c r="C95" s="32" t="s">
        <v>107</v>
      </c>
      <c r="D95" s="465">
        <f>D96</f>
        <v>42000</v>
      </c>
      <c r="E95" s="178">
        <f t="shared" si="5"/>
        <v>0.10066696820690008</v>
      </c>
    </row>
    <row r="96" spans="2:5" ht="12.75" customHeight="1">
      <c r="B96" s="75"/>
      <c r="C96" s="32" t="s">
        <v>57</v>
      </c>
      <c r="D96" s="465">
        <f>D97</f>
        <v>42000</v>
      </c>
      <c r="E96" s="178">
        <f t="shared" si="5"/>
        <v>0.10066696820690008</v>
      </c>
    </row>
    <row r="97" spans="2:5" ht="12.75" customHeight="1">
      <c r="B97" s="81"/>
      <c r="C97" s="96" t="s">
        <v>238</v>
      </c>
      <c r="D97" s="466">
        <v>42000</v>
      </c>
      <c r="E97" s="178">
        <f t="shared" si="5"/>
        <v>0.10066696820690008</v>
      </c>
    </row>
    <row r="98" spans="2:5" ht="12.75" customHeight="1">
      <c r="B98" s="29">
        <v>600</v>
      </c>
      <c r="C98" s="29" t="s">
        <v>4</v>
      </c>
      <c r="D98" s="464">
        <f>D99+D102</f>
        <v>890000</v>
      </c>
      <c r="E98" s="178">
        <f t="shared" si="5"/>
        <v>2.1331809929557397</v>
      </c>
    </row>
    <row r="99" spans="2:5" ht="12.75" customHeight="1">
      <c r="B99" s="191">
        <v>60013</v>
      </c>
      <c r="C99" s="191" t="s">
        <v>351</v>
      </c>
      <c r="D99" s="467">
        <f>D100</f>
        <v>50000</v>
      </c>
      <c r="E99" s="178">
        <f t="shared" si="5"/>
        <v>0.11984162881773819</v>
      </c>
    </row>
    <row r="100" spans="2:5" ht="12.75" customHeight="1">
      <c r="B100" s="362"/>
      <c r="C100" s="191" t="s">
        <v>483</v>
      </c>
      <c r="D100" s="467">
        <v>50000</v>
      </c>
      <c r="E100" s="178">
        <f t="shared" si="5"/>
        <v>0.11984162881773819</v>
      </c>
    </row>
    <row r="101" spans="2:5" ht="12.75" customHeight="1">
      <c r="B101" s="362"/>
      <c r="C101" s="191" t="s">
        <v>501</v>
      </c>
      <c r="D101" s="467">
        <v>50000</v>
      </c>
      <c r="E101" s="178">
        <f t="shared" si="5"/>
        <v>0.11984162881773819</v>
      </c>
    </row>
    <row r="102" spans="2:5" ht="12.75" customHeight="1">
      <c r="B102" s="32">
        <v>60016</v>
      </c>
      <c r="C102" s="32" t="s">
        <v>29</v>
      </c>
      <c r="D102" s="468">
        <f>D103</f>
        <v>840000</v>
      </c>
      <c r="E102" s="178">
        <f t="shared" si="5"/>
        <v>2.0133393641380013</v>
      </c>
    </row>
    <row r="103" spans="2:5" ht="12.75" customHeight="1">
      <c r="B103" s="32"/>
      <c r="C103" s="32" t="s">
        <v>57</v>
      </c>
      <c r="D103" s="465">
        <f>D104+D107+D113+D112+D110+D111+D105+D106+D108+D109</f>
        <v>840000</v>
      </c>
      <c r="E103" s="178">
        <f t="shared" si="5"/>
        <v>2.0133393641380013</v>
      </c>
    </row>
    <row r="104" spans="2:5" ht="12.75" customHeight="1">
      <c r="B104" s="191"/>
      <c r="C104" s="191" t="s">
        <v>151</v>
      </c>
      <c r="D104" s="469">
        <v>50000</v>
      </c>
      <c r="E104" s="178">
        <f t="shared" si="5"/>
        <v>0.11984162881773819</v>
      </c>
    </row>
    <row r="105" spans="2:5" ht="12.75" customHeight="1">
      <c r="B105" s="191"/>
      <c r="C105" s="64" t="s">
        <v>505</v>
      </c>
      <c r="D105" s="469">
        <f>80000+100000</f>
        <v>180000</v>
      </c>
      <c r="E105" s="178">
        <f t="shared" si="5"/>
        <v>0.43142986374385744</v>
      </c>
    </row>
    <row r="106" spans="2:5" ht="12.75" customHeight="1">
      <c r="B106" s="191"/>
      <c r="C106" s="64" t="s">
        <v>464</v>
      </c>
      <c r="D106" s="469">
        <f>100000+15000+30000</f>
        <v>145000</v>
      </c>
      <c r="E106" s="178">
        <f t="shared" si="5"/>
        <v>0.3475407235714407</v>
      </c>
    </row>
    <row r="107" spans="2:5" ht="12.75" customHeight="1">
      <c r="B107" s="191"/>
      <c r="C107" s="191" t="s">
        <v>249</v>
      </c>
      <c r="D107" s="469">
        <v>100000</v>
      </c>
      <c r="E107" s="178">
        <f t="shared" si="5"/>
        <v>0.23968325763547638</v>
      </c>
    </row>
    <row r="108" spans="2:5" ht="12.75" customHeight="1">
      <c r="B108" s="188"/>
      <c r="C108" s="191" t="s">
        <v>502</v>
      </c>
      <c r="D108" s="469">
        <v>50000</v>
      </c>
      <c r="E108" s="178">
        <f t="shared" si="5"/>
        <v>0.11984162881773819</v>
      </c>
    </row>
    <row r="109" spans="2:5" ht="12.75" customHeight="1">
      <c r="B109" s="188"/>
      <c r="C109" s="191" t="s">
        <v>471</v>
      </c>
      <c r="D109" s="469">
        <v>50000</v>
      </c>
      <c r="E109" s="178">
        <f t="shared" si="5"/>
        <v>0.11984162881773819</v>
      </c>
    </row>
    <row r="110" spans="2:5" ht="12.75" customHeight="1">
      <c r="B110" s="75"/>
      <c r="C110" s="79" t="s">
        <v>353</v>
      </c>
      <c r="D110" s="465">
        <v>50000</v>
      </c>
      <c r="E110" s="178">
        <f t="shared" si="5"/>
        <v>0.11984162881773819</v>
      </c>
    </row>
    <row r="111" spans="2:5" ht="12.75" customHeight="1">
      <c r="B111" s="75"/>
      <c r="C111" s="79" t="s">
        <v>352</v>
      </c>
      <c r="D111" s="465">
        <v>40000</v>
      </c>
      <c r="E111" s="178">
        <f t="shared" si="5"/>
        <v>0.09587330305419055</v>
      </c>
    </row>
    <row r="112" spans="2:5" ht="12.75" customHeight="1">
      <c r="B112" s="75"/>
      <c r="C112" s="79" t="s">
        <v>250</v>
      </c>
      <c r="D112" s="465">
        <f>50000+25000</f>
        <v>75000</v>
      </c>
      <c r="E112" s="178">
        <f t="shared" si="5"/>
        <v>0.17976244322660728</v>
      </c>
    </row>
    <row r="113" spans="2:5" ht="12.75" customHeight="1">
      <c r="B113" s="32"/>
      <c r="C113" s="32" t="s">
        <v>152</v>
      </c>
      <c r="D113" s="465">
        <v>100000</v>
      </c>
      <c r="E113" s="178">
        <f t="shared" si="5"/>
        <v>0.23968325763547638</v>
      </c>
    </row>
    <row r="114" spans="2:5" ht="12.75" customHeight="1">
      <c r="B114" s="80">
        <v>700</v>
      </c>
      <c r="C114" s="29" t="s">
        <v>6</v>
      </c>
      <c r="D114" s="456">
        <f>D115</f>
        <v>210000</v>
      </c>
      <c r="E114" s="178">
        <f t="shared" si="5"/>
        <v>0.5033348410345003</v>
      </c>
    </row>
    <row r="115" spans="2:5" ht="12.75" customHeight="1">
      <c r="B115" s="75">
        <v>70005</v>
      </c>
      <c r="C115" s="32" t="s">
        <v>31</v>
      </c>
      <c r="D115" s="453">
        <f>D116</f>
        <v>210000</v>
      </c>
      <c r="E115" s="178">
        <f t="shared" si="5"/>
        <v>0.5033348410345003</v>
      </c>
    </row>
    <row r="116" spans="2:5" ht="12.75" customHeight="1">
      <c r="B116" s="75"/>
      <c r="C116" s="191" t="s">
        <v>57</v>
      </c>
      <c r="D116" s="455">
        <f>D117+D118+D119</f>
        <v>210000</v>
      </c>
      <c r="E116" s="178">
        <f t="shared" si="5"/>
        <v>0.5033348410345003</v>
      </c>
    </row>
    <row r="117" spans="2:5" ht="12.75" customHeight="1">
      <c r="B117" s="75"/>
      <c r="C117" s="191" t="s">
        <v>498</v>
      </c>
      <c r="D117" s="455">
        <v>30000</v>
      </c>
      <c r="E117" s="178">
        <f t="shared" si="5"/>
        <v>0.07190497729064291</v>
      </c>
    </row>
    <row r="118" spans="2:5" ht="12.75" customHeight="1">
      <c r="B118" s="75"/>
      <c r="C118" s="32" t="s">
        <v>468</v>
      </c>
      <c r="D118" s="454">
        <v>80000</v>
      </c>
      <c r="E118" s="178">
        <f t="shared" si="5"/>
        <v>0.1917466061083811</v>
      </c>
    </row>
    <row r="119" spans="2:5" ht="12.75" customHeight="1">
      <c r="B119" s="75"/>
      <c r="C119" s="32" t="s">
        <v>500</v>
      </c>
      <c r="D119" s="454">
        <v>100000</v>
      </c>
      <c r="E119" s="178">
        <f t="shared" si="5"/>
        <v>0.23968325763547638</v>
      </c>
    </row>
    <row r="120" spans="2:5" ht="12.75" customHeight="1">
      <c r="B120" s="80">
        <v>710</v>
      </c>
      <c r="C120" s="29" t="s">
        <v>32</v>
      </c>
      <c r="D120" s="456">
        <f>D121</f>
        <v>50000</v>
      </c>
      <c r="E120" s="178">
        <f t="shared" si="5"/>
        <v>0.11984162881773819</v>
      </c>
    </row>
    <row r="121" spans="2:5" ht="12.75" customHeight="1">
      <c r="B121" s="75">
        <v>71035</v>
      </c>
      <c r="C121" s="32" t="s">
        <v>33</v>
      </c>
      <c r="D121" s="453">
        <f>D122</f>
        <v>50000</v>
      </c>
      <c r="E121" s="178">
        <f t="shared" si="5"/>
        <v>0.11984162881773819</v>
      </c>
    </row>
    <row r="122" spans="2:5" ht="12.75" customHeight="1">
      <c r="B122" s="75"/>
      <c r="C122" s="32" t="s">
        <v>57</v>
      </c>
      <c r="D122" s="454">
        <f>D123</f>
        <v>50000</v>
      </c>
      <c r="E122" s="178">
        <f t="shared" si="5"/>
        <v>0.11984162881773819</v>
      </c>
    </row>
    <row r="123" spans="2:5" ht="12.75" customHeight="1">
      <c r="B123" s="81"/>
      <c r="C123" s="96" t="s">
        <v>154</v>
      </c>
      <c r="D123" s="470">
        <v>50000</v>
      </c>
      <c r="E123" s="178">
        <f t="shared" si="5"/>
        <v>0.11984162881773819</v>
      </c>
    </row>
    <row r="124" spans="2:5" ht="12.75" customHeight="1">
      <c r="B124" s="76">
        <v>750</v>
      </c>
      <c r="C124" s="107" t="s">
        <v>7</v>
      </c>
      <c r="D124" s="471">
        <f>D125</f>
        <v>150000</v>
      </c>
      <c r="E124" s="178">
        <f t="shared" si="5"/>
        <v>0.35952488645321456</v>
      </c>
    </row>
    <row r="125" spans="2:5" ht="12.75" customHeight="1">
      <c r="B125" s="77">
        <v>75023</v>
      </c>
      <c r="C125" s="108" t="s">
        <v>36</v>
      </c>
      <c r="D125" s="468">
        <f>D126</f>
        <v>150000</v>
      </c>
      <c r="E125" s="178">
        <f t="shared" si="5"/>
        <v>0.35952488645321456</v>
      </c>
    </row>
    <row r="126" spans="2:5" ht="12.75" customHeight="1">
      <c r="B126" s="77"/>
      <c r="C126" s="108" t="s">
        <v>57</v>
      </c>
      <c r="D126" s="465">
        <f>D127+D128</f>
        <v>150000</v>
      </c>
      <c r="E126" s="178">
        <f t="shared" si="5"/>
        <v>0.35952488645321456</v>
      </c>
    </row>
    <row r="127" spans="2:5" ht="12.75" customHeight="1">
      <c r="B127" s="77"/>
      <c r="C127" s="108" t="s">
        <v>239</v>
      </c>
      <c r="D127" s="465">
        <v>50000</v>
      </c>
      <c r="E127" s="178">
        <f t="shared" si="5"/>
        <v>0.11984162881773819</v>
      </c>
    </row>
    <row r="128" spans="2:5" ht="12.75" customHeight="1">
      <c r="B128" s="77"/>
      <c r="C128" s="108" t="s">
        <v>240</v>
      </c>
      <c r="D128" s="465">
        <v>100000</v>
      </c>
      <c r="E128" s="178">
        <f t="shared" si="5"/>
        <v>0.23968325763547638</v>
      </c>
    </row>
    <row r="129" spans="2:5" ht="12.75" customHeight="1">
      <c r="B129" s="80">
        <v>754</v>
      </c>
      <c r="C129" s="29" t="s">
        <v>38</v>
      </c>
      <c r="D129" s="456">
        <f>D130</f>
        <v>5000</v>
      </c>
      <c r="E129" s="178">
        <f t="shared" si="5"/>
        <v>0.011984162881773818</v>
      </c>
    </row>
    <row r="130" spans="2:5" ht="12.75" customHeight="1">
      <c r="B130" s="75">
        <v>75412</v>
      </c>
      <c r="C130" s="32" t="s">
        <v>39</v>
      </c>
      <c r="D130" s="453">
        <f>D131</f>
        <v>5000</v>
      </c>
      <c r="E130" s="178">
        <f t="shared" si="5"/>
        <v>0.011984162881773818</v>
      </c>
    </row>
    <row r="131" spans="2:5" ht="12.75" customHeight="1">
      <c r="B131" s="75"/>
      <c r="C131" s="32" t="s">
        <v>57</v>
      </c>
      <c r="D131" s="454">
        <f>D132</f>
        <v>5000</v>
      </c>
      <c r="E131" s="178">
        <f t="shared" si="5"/>
        <v>0.011984162881773818</v>
      </c>
    </row>
    <row r="132" spans="2:5" ht="12.75" customHeight="1">
      <c r="B132" s="81"/>
      <c r="C132" s="96" t="s">
        <v>239</v>
      </c>
      <c r="D132" s="470">
        <v>5000</v>
      </c>
      <c r="E132" s="178">
        <f t="shared" si="5"/>
        <v>0.011984162881773818</v>
      </c>
    </row>
    <row r="133" spans="2:5" ht="12.75" customHeight="1">
      <c r="B133" s="80">
        <v>801</v>
      </c>
      <c r="C133" s="29" t="s">
        <v>9</v>
      </c>
      <c r="D133" s="456">
        <f>D134</f>
        <v>2829686.8</v>
      </c>
      <c r="E133" s="178">
        <f t="shared" si="5"/>
        <v>6.7822855031210665</v>
      </c>
    </row>
    <row r="134" spans="2:5" ht="12.75" customHeight="1">
      <c r="B134" s="75">
        <v>80101</v>
      </c>
      <c r="C134" s="32" t="s">
        <v>43</v>
      </c>
      <c r="D134" s="453">
        <f>D135</f>
        <v>2829686.8</v>
      </c>
      <c r="E134" s="178">
        <f t="shared" si="5"/>
        <v>6.7822855031210665</v>
      </c>
    </row>
    <row r="135" spans="2:5" ht="12.75" customHeight="1">
      <c r="B135" s="188"/>
      <c r="C135" s="191" t="s">
        <v>57</v>
      </c>
      <c r="D135" s="455">
        <f>D138+D139+D136+D137+D140</f>
        <v>2829686.8</v>
      </c>
      <c r="E135" s="178">
        <f t="shared" si="5"/>
        <v>6.7822855031210665</v>
      </c>
    </row>
    <row r="136" spans="2:5" ht="12.75" customHeight="1">
      <c r="B136" s="188"/>
      <c r="C136" s="32" t="s">
        <v>314</v>
      </c>
      <c r="D136" s="455">
        <v>17000</v>
      </c>
      <c r="E136" s="178">
        <f t="shared" si="5"/>
        <v>0.04074615379803098</v>
      </c>
    </row>
    <row r="137" spans="2:5" ht="12.75" customHeight="1">
      <c r="B137" s="188"/>
      <c r="C137" s="32" t="s">
        <v>481</v>
      </c>
      <c r="D137" s="455">
        <v>5000</v>
      </c>
      <c r="E137" s="178">
        <f t="shared" si="5"/>
        <v>0.011984162881773818</v>
      </c>
    </row>
    <row r="138" spans="2:5" ht="12.75" customHeight="1">
      <c r="B138" s="188"/>
      <c r="C138" s="191" t="s">
        <v>421</v>
      </c>
      <c r="D138" s="455">
        <v>70000</v>
      </c>
      <c r="E138" s="178">
        <f t="shared" si="5"/>
        <v>0.16777828034483347</v>
      </c>
    </row>
    <row r="139" spans="2:5" ht="12.75" customHeight="1">
      <c r="B139" s="75"/>
      <c r="C139" s="32" t="s">
        <v>315</v>
      </c>
      <c r="D139" s="454">
        <v>410653.8</v>
      </c>
      <c r="E139" s="178">
        <f t="shared" si="5"/>
        <v>0.9842684054438738</v>
      </c>
    </row>
    <row r="140" spans="2:5" ht="12.75" customHeight="1">
      <c r="B140" s="81"/>
      <c r="C140" s="96"/>
      <c r="D140" s="470">
        <v>2327033</v>
      </c>
      <c r="E140" s="178">
        <f t="shared" si="5"/>
        <v>5.577508500652555</v>
      </c>
    </row>
    <row r="141" spans="2:5" ht="12.75" customHeight="1">
      <c r="B141" s="80">
        <v>900</v>
      </c>
      <c r="C141" s="29" t="s">
        <v>10</v>
      </c>
      <c r="D141" s="472">
        <f>D142+D145+D148</f>
        <v>4016664.5300000003</v>
      </c>
      <c r="E141" s="178">
        <f t="shared" si="5"/>
        <v>9.627272393792696</v>
      </c>
    </row>
    <row r="142" spans="2:5" ht="12.75" customHeight="1">
      <c r="B142" s="75">
        <v>90001</v>
      </c>
      <c r="C142" s="32" t="s">
        <v>56</v>
      </c>
      <c r="D142" s="473">
        <f>D143</f>
        <v>60000</v>
      </c>
      <c r="E142" s="178">
        <f t="shared" si="5"/>
        <v>0.14380995458128581</v>
      </c>
    </row>
    <row r="143" spans="2:5" ht="12.75" customHeight="1">
      <c r="B143" s="75"/>
      <c r="C143" s="32" t="s">
        <v>57</v>
      </c>
      <c r="D143" s="465">
        <f>D144</f>
        <v>60000</v>
      </c>
      <c r="E143" s="178">
        <f t="shared" si="5"/>
        <v>0.14380995458128581</v>
      </c>
    </row>
    <row r="144" spans="2:5" ht="12.75" customHeight="1">
      <c r="B144" s="75"/>
      <c r="C144" s="191" t="s">
        <v>486</v>
      </c>
      <c r="D144" s="469">
        <v>60000</v>
      </c>
      <c r="E144" s="178">
        <f t="shared" si="5"/>
        <v>0.14380995458128581</v>
      </c>
    </row>
    <row r="145" spans="2:5" ht="12.75" customHeight="1">
      <c r="B145" s="86">
        <v>90002</v>
      </c>
      <c r="C145" s="79" t="s">
        <v>230</v>
      </c>
      <c r="D145" s="465">
        <f>D146</f>
        <v>3826664.5300000003</v>
      </c>
      <c r="E145" s="178">
        <f t="shared" si="5"/>
        <v>9.171874204285292</v>
      </c>
    </row>
    <row r="146" spans="2:5" ht="12.75" customHeight="1">
      <c r="B146" s="87"/>
      <c r="C146" s="79" t="s">
        <v>57</v>
      </c>
      <c r="D146" s="465">
        <f>D147</f>
        <v>3826664.5300000003</v>
      </c>
      <c r="E146" s="178">
        <f t="shared" si="5"/>
        <v>9.171874204285292</v>
      </c>
    </row>
    <row r="147" spans="2:5" ht="12.75" customHeight="1">
      <c r="B147" s="133"/>
      <c r="C147" s="96" t="s">
        <v>313</v>
      </c>
      <c r="D147" s="466">
        <f>4186000-354335.47-5000</f>
        <v>3826664.5300000003</v>
      </c>
      <c r="E147" s="178">
        <f t="shared" si="5"/>
        <v>9.171874204285292</v>
      </c>
    </row>
    <row r="148" spans="2:5" ht="12.75" customHeight="1">
      <c r="B148" s="444">
        <v>90015</v>
      </c>
      <c r="C148" s="101" t="s">
        <v>60</v>
      </c>
      <c r="D148" s="474">
        <f>D149</f>
        <v>130000</v>
      </c>
      <c r="E148" s="178">
        <f t="shared" si="5"/>
        <v>0.31158823492611926</v>
      </c>
    </row>
    <row r="149" spans="2:5" ht="12.75" customHeight="1">
      <c r="B149" s="75"/>
      <c r="C149" s="32" t="s">
        <v>57</v>
      </c>
      <c r="D149" s="465">
        <f>D150+D151+D152+D153</f>
        <v>130000</v>
      </c>
      <c r="E149" s="178">
        <f t="shared" si="5"/>
        <v>0.31158823492611926</v>
      </c>
    </row>
    <row r="150" spans="2:5" ht="12.75" customHeight="1">
      <c r="B150" s="75"/>
      <c r="C150" s="32" t="s">
        <v>354</v>
      </c>
      <c r="D150" s="465">
        <f>30000+10000</f>
        <v>40000</v>
      </c>
      <c r="E150" s="178">
        <f t="shared" si="5"/>
        <v>0.09587330305419055</v>
      </c>
    </row>
    <row r="151" spans="2:5" ht="12.75" customHeight="1">
      <c r="B151" s="75"/>
      <c r="C151" s="32" t="s">
        <v>355</v>
      </c>
      <c r="D151" s="465">
        <v>30000</v>
      </c>
      <c r="E151" s="178">
        <f t="shared" si="5"/>
        <v>0.07190497729064291</v>
      </c>
    </row>
    <row r="152" spans="2:5" ht="12.75" customHeight="1">
      <c r="B152" s="75"/>
      <c r="C152" s="32" t="s">
        <v>356</v>
      </c>
      <c r="D152" s="465">
        <v>30000</v>
      </c>
      <c r="E152" s="178">
        <f t="shared" si="5"/>
        <v>0.07190497729064291</v>
      </c>
    </row>
    <row r="153" spans="2:5" ht="12.75" customHeight="1">
      <c r="B153" s="81"/>
      <c r="C153" s="96" t="s">
        <v>357</v>
      </c>
      <c r="D153" s="466">
        <v>30000</v>
      </c>
      <c r="E153" s="178">
        <f t="shared" si="5"/>
        <v>0.07190497729064291</v>
      </c>
    </row>
    <row r="154" spans="2:5" ht="12.75" customHeight="1">
      <c r="B154" s="80">
        <v>926</v>
      </c>
      <c r="C154" s="29" t="s">
        <v>63</v>
      </c>
      <c r="D154" s="475">
        <f>D155</f>
        <v>63000</v>
      </c>
      <c r="E154" s="178">
        <f t="shared" si="5"/>
        <v>0.15100045231035011</v>
      </c>
    </row>
    <row r="155" spans="2:5" ht="12.75" customHeight="1">
      <c r="B155" s="75">
        <v>92605</v>
      </c>
      <c r="C155" s="32" t="s">
        <v>145</v>
      </c>
      <c r="D155" s="476">
        <f>D156</f>
        <v>63000</v>
      </c>
      <c r="E155" s="178">
        <f t="shared" si="5"/>
        <v>0.15100045231035011</v>
      </c>
    </row>
    <row r="156" spans="2:5" ht="12.75" customHeight="1">
      <c r="B156" s="75"/>
      <c r="C156" s="32" t="s">
        <v>57</v>
      </c>
      <c r="D156" s="454">
        <f>D157</f>
        <v>63000</v>
      </c>
      <c r="E156" s="178">
        <f t="shared" si="5"/>
        <v>0.15100045231035011</v>
      </c>
    </row>
    <row r="157" spans="2:5" ht="12.75" customHeight="1">
      <c r="B157" s="75"/>
      <c r="C157" s="447" t="s">
        <v>470</v>
      </c>
      <c r="D157" s="455">
        <f>54000+9000</f>
        <v>63000</v>
      </c>
      <c r="E157" s="178">
        <f t="shared" si="5"/>
        <v>0.15100045231035011</v>
      </c>
    </row>
    <row r="158" spans="2:5" ht="12.75" customHeight="1">
      <c r="B158" s="282"/>
      <c r="C158" s="283" t="s">
        <v>12</v>
      </c>
      <c r="D158" s="477">
        <f>D154+D141+D133+D129+D124+D120+D114+D98+D94</f>
        <v>8256351.33</v>
      </c>
      <c r="E158" s="178">
        <f>D158/41721729.33%</f>
        <v>19.78909182957398</v>
      </c>
    </row>
    <row r="159" spans="2:5" ht="12.75" customHeight="1">
      <c r="B159" s="68"/>
      <c r="C159" s="68"/>
      <c r="D159" s="253">
        <f>D158-D140</f>
        <v>5929318.33</v>
      </c>
      <c r="E159" s="92"/>
    </row>
    <row r="160" ht="12.75" customHeight="1">
      <c r="E160" s="481"/>
    </row>
    <row r="161" ht="12.75" customHeight="1">
      <c r="E161" s="92"/>
    </row>
    <row r="162" ht="12.75" customHeight="1">
      <c r="E162" s="92"/>
    </row>
    <row r="163" ht="12.75" customHeight="1">
      <c r="E163" s="92"/>
    </row>
    <row r="164" ht="12.75" customHeight="1">
      <c r="E164" s="92"/>
    </row>
    <row r="165" ht="12.75" customHeight="1">
      <c r="E165" s="92"/>
    </row>
    <row r="166" ht="12.75" customHeight="1">
      <c r="E166" s="92"/>
    </row>
    <row r="167" ht="12.75" customHeight="1">
      <c r="E167" s="92"/>
    </row>
    <row r="168" ht="12.75" customHeight="1">
      <c r="E168" s="92"/>
    </row>
    <row r="169" ht="12.75" customHeight="1">
      <c r="E169" s="92"/>
    </row>
    <row r="170" ht="12.75" customHeight="1">
      <c r="E170" s="92"/>
    </row>
    <row r="171" ht="12.75" customHeight="1">
      <c r="E171" s="92"/>
    </row>
    <row r="172" ht="12.75" customHeight="1">
      <c r="E172" s="92"/>
    </row>
    <row r="173" ht="12.75" customHeight="1">
      <c r="E173" s="92"/>
    </row>
    <row r="174" ht="12.75" customHeight="1">
      <c r="E174" s="92"/>
    </row>
    <row r="175" ht="12.75" customHeight="1">
      <c r="E175" s="92"/>
    </row>
    <row r="176" ht="12.75" customHeight="1">
      <c r="E176" s="92"/>
    </row>
    <row r="177" ht="12.75" customHeight="1">
      <c r="E177" s="92"/>
    </row>
    <row r="178" ht="12.75" customHeight="1">
      <c r="E178" s="92"/>
    </row>
    <row r="179" ht="12.75" customHeight="1">
      <c r="E179" s="92"/>
    </row>
    <row r="180" ht="12.75" customHeight="1">
      <c r="E180" s="92"/>
    </row>
    <row r="181" ht="12.75" customHeight="1">
      <c r="E181" s="92"/>
    </row>
    <row r="182" ht="12.75" customHeight="1">
      <c r="E182" s="92"/>
    </row>
    <row r="183" ht="12.75" customHeight="1">
      <c r="E183" s="92"/>
    </row>
    <row r="184" ht="12.75" customHeight="1">
      <c r="E184" s="92"/>
    </row>
    <row r="185" ht="12.75" customHeight="1">
      <c r="E185" s="92"/>
    </row>
    <row r="186" ht="12.75" customHeight="1">
      <c r="E186" s="92"/>
    </row>
    <row r="187" ht="12.75" customHeight="1">
      <c r="E187" s="92"/>
    </row>
    <row r="188" ht="12.75" customHeight="1">
      <c r="E188" s="92"/>
    </row>
    <row r="189" ht="12.75" customHeight="1">
      <c r="E189" s="92"/>
    </row>
    <row r="190" ht="12.75" customHeight="1">
      <c r="E190" s="92"/>
    </row>
    <row r="191" ht="12.75" customHeight="1">
      <c r="E191" s="92"/>
    </row>
    <row r="192" ht="12.75" customHeight="1">
      <c r="E192" s="92"/>
    </row>
    <row r="193" ht="12.75" customHeight="1">
      <c r="E193" s="92"/>
    </row>
    <row r="194" ht="12.75" customHeight="1">
      <c r="E194" s="92"/>
    </row>
    <row r="195" ht="12.75" customHeight="1">
      <c r="E195" s="92"/>
    </row>
    <row r="196" ht="12.75" customHeight="1">
      <c r="E196" s="92"/>
    </row>
    <row r="197" ht="12.75" customHeight="1">
      <c r="E197" s="92"/>
    </row>
    <row r="198" ht="12.75" customHeight="1">
      <c r="E198" s="92"/>
    </row>
    <row r="199" ht="12.75" customHeight="1">
      <c r="E199" s="92"/>
    </row>
    <row r="200" ht="12.75" customHeight="1">
      <c r="E200" s="92"/>
    </row>
    <row r="201" ht="12.75" customHeight="1">
      <c r="E201" s="92"/>
    </row>
    <row r="202" ht="12.75" customHeight="1">
      <c r="E202" s="92"/>
    </row>
    <row r="203" ht="12.75" customHeight="1">
      <c r="E203" s="92"/>
    </row>
    <row r="204" ht="12.75" customHeight="1">
      <c r="E204" s="92"/>
    </row>
    <row r="205" ht="12.75" customHeight="1">
      <c r="E205" s="92"/>
    </row>
    <row r="206" ht="12.75" customHeight="1">
      <c r="E206" s="92"/>
    </row>
    <row r="207" ht="12.75" customHeight="1">
      <c r="E207" s="92"/>
    </row>
    <row r="208" ht="12.75" customHeight="1">
      <c r="E208" s="92"/>
    </row>
    <row r="209" ht="12.75" customHeight="1">
      <c r="E209" s="92"/>
    </row>
    <row r="210" ht="12.75" customHeight="1">
      <c r="E210" s="92"/>
    </row>
    <row r="211" ht="12.75" customHeight="1">
      <c r="E211" s="92"/>
    </row>
    <row r="212" ht="12.75" customHeight="1">
      <c r="E212" s="92"/>
    </row>
    <row r="213" ht="12.75" customHeight="1">
      <c r="E213" s="92"/>
    </row>
    <row r="214" ht="12.75" customHeight="1">
      <c r="E214" s="92"/>
    </row>
    <row r="215" ht="12.75" customHeight="1">
      <c r="E215" s="92"/>
    </row>
    <row r="216" ht="12.75" customHeight="1">
      <c r="E216" s="92"/>
    </row>
    <row r="217" ht="12.75" customHeight="1">
      <c r="E217" s="92"/>
    </row>
    <row r="218" ht="12.75" customHeight="1">
      <c r="E218" s="92"/>
    </row>
    <row r="219" ht="12.75" customHeight="1">
      <c r="E219" s="92"/>
    </row>
    <row r="220" ht="12.75" customHeight="1">
      <c r="E220" s="92"/>
    </row>
    <row r="221" ht="12.75" customHeight="1">
      <c r="E221" s="92"/>
    </row>
    <row r="222" ht="12.75" customHeight="1">
      <c r="E222" s="92"/>
    </row>
    <row r="223" ht="12.75" customHeight="1">
      <c r="E223" s="92"/>
    </row>
    <row r="224" ht="12.75" customHeight="1">
      <c r="E224" s="92"/>
    </row>
    <row r="225" ht="12.75" customHeight="1">
      <c r="E225" s="92"/>
    </row>
    <row r="226" ht="12.75" customHeight="1">
      <c r="E226" s="92"/>
    </row>
    <row r="227" ht="12.75" customHeight="1">
      <c r="E227" s="92"/>
    </row>
    <row r="228" ht="12.75" customHeight="1">
      <c r="E228" s="92"/>
    </row>
    <row r="229" ht="12.75" customHeight="1">
      <c r="E229" s="92"/>
    </row>
    <row r="230" ht="12.75" customHeight="1">
      <c r="E230" s="92"/>
    </row>
    <row r="231" ht="12.75" customHeight="1">
      <c r="E231" s="92"/>
    </row>
    <row r="232" ht="12.75" customHeight="1">
      <c r="E232" s="92"/>
    </row>
    <row r="233" ht="12.75" customHeight="1">
      <c r="E233" s="92"/>
    </row>
    <row r="234" ht="12.75" customHeight="1">
      <c r="E234" s="92"/>
    </row>
    <row r="235" ht="12.75" customHeight="1">
      <c r="E235" s="92"/>
    </row>
    <row r="236" ht="12.75" customHeight="1">
      <c r="E236" s="92"/>
    </row>
    <row r="237" ht="12.75" customHeight="1">
      <c r="E237" s="92"/>
    </row>
    <row r="238" ht="12.75" customHeight="1">
      <c r="E238" s="92"/>
    </row>
    <row r="239" ht="12.75" customHeight="1">
      <c r="E239" s="92"/>
    </row>
    <row r="240" ht="12.75" customHeight="1">
      <c r="E240" s="92"/>
    </row>
    <row r="241" ht="12.75" customHeight="1">
      <c r="E241" s="92"/>
    </row>
    <row r="242" ht="12.75" customHeight="1">
      <c r="E242" s="92"/>
    </row>
    <row r="243" ht="12.75" customHeight="1">
      <c r="E243" s="92"/>
    </row>
    <row r="244" ht="12.75" customHeight="1">
      <c r="E244" s="92"/>
    </row>
    <row r="245" ht="12.75" customHeight="1">
      <c r="E245" s="92"/>
    </row>
    <row r="246" ht="12.75" customHeight="1">
      <c r="E246" s="92"/>
    </row>
    <row r="247" ht="12.75" customHeight="1">
      <c r="E247" s="92"/>
    </row>
    <row r="248" ht="12.75" customHeight="1">
      <c r="E248" s="92"/>
    </row>
    <row r="249" ht="12.75" customHeight="1">
      <c r="E249" s="92"/>
    </row>
    <row r="250" ht="12.75" customHeight="1">
      <c r="E250" s="92"/>
    </row>
    <row r="251" ht="12.75" customHeight="1">
      <c r="E251" s="92"/>
    </row>
    <row r="252" ht="12.75" customHeight="1">
      <c r="E252" s="92"/>
    </row>
    <row r="253" ht="12.75" customHeight="1">
      <c r="E253" s="92"/>
    </row>
    <row r="254" ht="12.75" customHeight="1">
      <c r="E254" s="92"/>
    </row>
    <row r="255" ht="12.75" customHeight="1">
      <c r="E255" s="92"/>
    </row>
    <row r="256" ht="12.75" customHeight="1">
      <c r="E256" s="92"/>
    </row>
    <row r="257" ht="12.75" customHeight="1">
      <c r="E257" s="92"/>
    </row>
    <row r="258" ht="12.75" customHeight="1">
      <c r="E258" s="92"/>
    </row>
    <row r="259" ht="12.75" customHeight="1">
      <c r="E259" s="92"/>
    </row>
    <row r="260" ht="12.75" customHeight="1">
      <c r="E260" s="92"/>
    </row>
    <row r="261" ht="12.75" customHeight="1">
      <c r="E261" s="92"/>
    </row>
    <row r="262" ht="12.75" customHeight="1">
      <c r="E262" s="92"/>
    </row>
    <row r="263" ht="12.75" customHeight="1">
      <c r="E263" s="92"/>
    </row>
    <row r="264" ht="12.75" customHeight="1">
      <c r="E264" s="92"/>
    </row>
    <row r="265" ht="12.75" customHeight="1">
      <c r="E265" s="92"/>
    </row>
    <row r="266" ht="12.75" customHeight="1">
      <c r="E266" s="92"/>
    </row>
    <row r="267" ht="12.75" customHeight="1">
      <c r="E267" s="92"/>
    </row>
    <row r="268" ht="12.75" customHeight="1">
      <c r="E268" s="92"/>
    </row>
    <row r="269" ht="12.75" customHeight="1">
      <c r="E269" s="92"/>
    </row>
    <row r="270" ht="12.75" customHeight="1">
      <c r="E270" s="92"/>
    </row>
    <row r="271" ht="12.75" customHeight="1">
      <c r="E271" s="92"/>
    </row>
    <row r="272" ht="12.75" customHeight="1">
      <c r="E272" s="92"/>
    </row>
    <row r="273" ht="12.75" customHeight="1">
      <c r="E273" s="92"/>
    </row>
    <row r="274" ht="12.75" customHeight="1">
      <c r="E274" s="92"/>
    </row>
    <row r="275" ht="12.75" customHeight="1">
      <c r="E275" s="92"/>
    </row>
    <row r="276" ht="12.75" customHeight="1">
      <c r="E276" s="92"/>
    </row>
    <row r="277" ht="12.75" customHeight="1">
      <c r="E277" s="92"/>
    </row>
    <row r="278" ht="12.75" customHeight="1">
      <c r="E278" s="92"/>
    </row>
    <row r="279" ht="12.75" customHeight="1">
      <c r="E279" s="92"/>
    </row>
    <row r="280" ht="12.75" customHeight="1">
      <c r="E280" s="92"/>
    </row>
    <row r="281" ht="12.75" customHeight="1">
      <c r="E281" s="92"/>
    </row>
    <row r="282" ht="12.75" customHeight="1">
      <c r="E282" s="92"/>
    </row>
    <row r="283" ht="12.75" customHeight="1">
      <c r="E283" s="92"/>
    </row>
    <row r="284" ht="12.75" customHeight="1">
      <c r="E284" s="92"/>
    </row>
    <row r="285" ht="12.75" customHeight="1">
      <c r="E285" s="92"/>
    </row>
    <row r="286" ht="12.75" customHeight="1">
      <c r="E286" s="92"/>
    </row>
    <row r="287" ht="12.75" customHeight="1">
      <c r="E287" s="92"/>
    </row>
    <row r="288" ht="12.75" customHeight="1">
      <c r="E288" s="92"/>
    </row>
    <row r="289" ht="12.75" customHeight="1">
      <c r="E289" s="92"/>
    </row>
    <row r="290" ht="12.75" customHeight="1">
      <c r="E290" s="92"/>
    </row>
    <row r="291" ht="12.75" customHeight="1">
      <c r="E291" s="92"/>
    </row>
    <row r="292" ht="12.75" customHeight="1">
      <c r="E292" s="92"/>
    </row>
    <row r="293" ht="12.75" customHeight="1">
      <c r="E293" s="92"/>
    </row>
    <row r="294" ht="12.75" customHeight="1">
      <c r="E294" s="92"/>
    </row>
    <row r="295" ht="12.75" customHeight="1">
      <c r="E295" s="92"/>
    </row>
    <row r="296" ht="12.75" customHeight="1">
      <c r="E296" s="92"/>
    </row>
    <row r="297" ht="12.75" customHeight="1">
      <c r="E297" s="92"/>
    </row>
    <row r="298" ht="12.75" customHeight="1">
      <c r="E298" s="92"/>
    </row>
    <row r="299" ht="12.75" customHeight="1">
      <c r="E299" s="92"/>
    </row>
    <row r="300" ht="12.75" customHeight="1">
      <c r="E300" s="92"/>
    </row>
    <row r="301" ht="12.75" customHeight="1">
      <c r="E301" s="92"/>
    </row>
    <row r="302" ht="12.75" customHeight="1">
      <c r="E302" s="92"/>
    </row>
    <row r="303" ht="12.75" customHeight="1">
      <c r="E303" s="92"/>
    </row>
    <row r="304" ht="12.75" customHeight="1">
      <c r="E304" s="92"/>
    </row>
    <row r="305" ht="12.75" customHeight="1">
      <c r="E305" s="92"/>
    </row>
    <row r="306" ht="12.75" customHeight="1">
      <c r="E306" s="92"/>
    </row>
    <row r="307" ht="12.75" customHeight="1">
      <c r="E307" s="92"/>
    </row>
    <row r="308" ht="12.75" customHeight="1">
      <c r="E308" s="92"/>
    </row>
    <row r="309" ht="12.75" customHeight="1">
      <c r="E309" s="92"/>
    </row>
    <row r="310" ht="12.75" customHeight="1">
      <c r="E310" s="92"/>
    </row>
    <row r="311" ht="12.75" customHeight="1">
      <c r="E311" s="92"/>
    </row>
    <row r="312" ht="12.75" customHeight="1">
      <c r="E312" s="92"/>
    </row>
    <row r="313" ht="12.75" customHeight="1">
      <c r="E313" s="92"/>
    </row>
    <row r="314" ht="12.75" customHeight="1">
      <c r="E314" s="92"/>
    </row>
    <row r="315" ht="12.75" customHeight="1">
      <c r="E315" s="92"/>
    </row>
    <row r="316" ht="12.75" customHeight="1">
      <c r="E316" s="92"/>
    </row>
    <row r="317" ht="12.75" customHeight="1">
      <c r="E317" s="92"/>
    </row>
    <row r="318" ht="12.75" customHeight="1">
      <c r="E318" s="92"/>
    </row>
    <row r="319" ht="12.75" customHeight="1">
      <c r="E319" s="92"/>
    </row>
    <row r="320" ht="12.75" customHeight="1">
      <c r="E320" s="92"/>
    </row>
    <row r="321" ht="12.75" customHeight="1">
      <c r="E321" s="92"/>
    </row>
    <row r="322" ht="12.75" customHeight="1">
      <c r="E322" s="92"/>
    </row>
    <row r="323" ht="12.75" customHeight="1">
      <c r="E323" s="92"/>
    </row>
    <row r="324" ht="12.75" customHeight="1">
      <c r="E324" s="92"/>
    </row>
    <row r="325" ht="12.75" customHeight="1">
      <c r="E325" s="92"/>
    </row>
    <row r="326" ht="12.75" customHeight="1">
      <c r="E326" s="92"/>
    </row>
    <row r="327" ht="12.75" customHeight="1">
      <c r="E327" s="92"/>
    </row>
    <row r="328" ht="12.75" customHeight="1">
      <c r="E328" s="92"/>
    </row>
    <row r="329" ht="12.75" customHeight="1">
      <c r="E329" s="92"/>
    </row>
    <row r="330" ht="12.75" customHeight="1">
      <c r="E330" s="92"/>
    </row>
    <row r="331" ht="12.75" customHeight="1">
      <c r="E331" s="92"/>
    </row>
    <row r="332" ht="12.75" customHeight="1">
      <c r="E332" s="92"/>
    </row>
    <row r="333" ht="12.75" customHeight="1">
      <c r="E333" s="92"/>
    </row>
    <row r="334" ht="12.75" customHeight="1">
      <c r="E334" s="92"/>
    </row>
    <row r="335" ht="12.75" customHeight="1">
      <c r="E335" s="92"/>
    </row>
    <row r="336" ht="12.75" customHeight="1">
      <c r="E336" s="92"/>
    </row>
    <row r="337" ht="12.75" customHeight="1">
      <c r="E337" s="92"/>
    </row>
    <row r="338" ht="12.75" customHeight="1">
      <c r="E338" s="92"/>
    </row>
    <row r="339" ht="12.75" customHeight="1">
      <c r="E339" s="92"/>
    </row>
    <row r="340" ht="12.75" customHeight="1">
      <c r="E340" s="92"/>
    </row>
    <row r="341" ht="12.75" customHeight="1">
      <c r="E341" s="92"/>
    </row>
    <row r="342" ht="12.75" customHeight="1">
      <c r="E342" s="92"/>
    </row>
    <row r="343" ht="12.75" customHeight="1">
      <c r="E343" s="92"/>
    </row>
    <row r="344" ht="12.75" customHeight="1">
      <c r="E344" s="92"/>
    </row>
    <row r="345" ht="12.75" customHeight="1">
      <c r="E345" s="92"/>
    </row>
    <row r="346" ht="12.75" customHeight="1">
      <c r="E346" s="92"/>
    </row>
    <row r="347" ht="12.75" customHeight="1">
      <c r="E347" s="92"/>
    </row>
    <row r="348" ht="12.75" customHeight="1">
      <c r="E348" s="92"/>
    </row>
    <row r="349" ht="12.75" customHeight="1">
      <c r="E349" s="92"/>
    </row>
    <row r="350" ht="12.75" customHeight="1">
      <c r="E350" s="92"/>
    </row>
    <row r="351" ht="12.75" customHeight="1">
      <c r="E351" s="92"/>
    </row>
    <row r="352" ht="12.75" customHeight="1">
      <c r="E352" s="92"/>
    </row>
    <row r="353" ht="12.75" customHeight="1">
      <c r="E353" s="92"/>
    </row>
    <row r="354" ht="12.75" customHeight="1">
      <c r="E354" s="92"/>
    </row>
    <row r="355" ht="12.75" customHeight="1">
      <c r="E355" s="92"/>
    </row>
    <row r="356" ht="12.75" customHeight="1">
      <c r="E356" s="92"/>
    </row>
    <row r="357" ht="12.75" customHeight="1">
      <c r="E357" s="92"/>
    </row>
    <row r="358" ht="12.75" customHeight="1">
      <c r="E358" s="92"/>
    </row>
    <row r="359" ht="12.75" customHeight="1">
      <c r="E359" s="92"/>
    </row>
    <row r="360" ht="12.75" customHeight="1">
      <c r="E360" s="92"/>
    </row>
    <row r="361" ht="12.75" customHeight="1">
      <c r="E361" s="92"/>
    </row>
    <row r="362" ht="12.75" customHeight="1">
      <c r="E362" s="92"/>
    </row>
    <row r="363" ht="12.75" customHeight="1">
      <c r="E363" s="92"/>
    </row>
    <row r="364" ht="12.75" customHeight="1">
      <c r="E364" s="92"/>
    </row>
    <row r="365" ht="12.75" customHeight="1">
      <c r="E365" s="92"/>
    </row>
    <row r="366" ht="12.75" customHeight="1">
      <c r="E366" s="92"/>
    </row>
    <row r="367" ht="12.75" customHeight="1">
      <c r="E367" s="92"/>
    </row>
    <row r="368" ht="12.75" customHeight="1">
      <c r="E368" s="92"/>
    </row>
    <row r="369" ht="12.75" customHeight="1">
      <c r="E369" s="92"/>
    </row>
    <row r="370" ht="12.75" customHeight="1">
      <c r="E370" s="92"/>
    </row>
    <row r="371" ht="12.75" customHeight="1">
      <c r="E371" s="92"/>
    </row>
    <row r="372" ht="12.75" customHeight="1">
      <c r="E372" s="92"/>
    </row>
    <row r="373" ht="12.75" customHeight="1">
      <c r="E373" s="92"/>
    </row>
    <row r="374" ht="12.75" customHeight="1">
      <c r="E374" s="92"/>
    </row>
    <row r="375" ht="12.75" customHeight="1">
      <c r="E375" s="92"/>
    </row>
    <row r="376" ht="12.75" customHeight="1">
      <c r="E376" s="92"/>
    </row>
    <row r="377" ht="12.75" customHeight="1">
      <c r="E377" s="92"/>
    </row>
    <row r="378" ht="12.75" customHeight="1">
      <c r="E378" s="92"/>
    </row>
    <row r="379" ht="12.75" customHeight="1">
      <c r="E379" s="92"/>
    </row>
    <row r="380" ht="12.75" customHeight="1">
      <c r="E380" s="92"/>
    </row>
    <row r="381" ht="12.75" customHeight="1">
      <c r="E381" s="92"/>
    </row>
    <row r="382" ht="12.75" customHeight="1">
      <c r="E382" s="92"/>
    </row>
    <row r="383" ht="12.75" customHeight="1">
      <c r="E383" s="92"/>
    </row>
    <row r="384" ht="12.75" customHeight="1">
      <c r="E384" s="92"/>
    </row>
    <row r="385" ht="12.75" customHeight="1">
      <c r="E385" s="92"/>
    </row>
    <row r="386" ht="12.75" customHeight="1">
      <c r="E386" s="92"/>
    </row>
    <row r="387" ht="12.75" customHeight="1">
      <c r="E387" s="92"/>
    </row>
    <row r="388" ht="12.75" customHeight="1">
      <c r="E388" s="92"/>
    </row>
    <row r="389" ht="12.75" customHeight="1">
      <c r="E389" s="92"/>
    </row>
    <row r="390" ht="12.75" customHeight="1">
      <c r="E390" s="92"/>
    </row>
    <row r="391" ht="12.75" customHeight="1">
      <c r="E391" s="92"/>
    </row>
    <row r="392" ht="12.75" customHeight="1">
      <c r="E392" s="92"/>
    </row>
    <row r="393" ht="12.75" customHeight="1">
      <c r="E393" s="92"/>
    </row>
    <row r="394" ht="12.75" customHeight="1">
      <c r="E394" s="92"/>
    </row>
    <row r="395" ht="12.75" customHeight="1">
      <c r="E395" s="92"/>
    </row>
    <row r="396" ht="12.75" customHeight="1">
      <c r="E396" s="92"/>
    </row>
    <row r="397" ht="12.75" customHeight="1">
      <c r="E397" s="92"/>
    </row>
    <row r="398" ht="12.75" customHeight="1">
      <c r="E398" s="92"/>
    </row>
    <row r="399" ht="12.75" customHeight="1">
      <c r="E399" s="92"/>
    </row>
    <row r="400" ht="12.75" customHeight="1">
      <c r="E400" s="92"/>
    </row>
    <row r="401" ht="12.75" customHeight="1">
      <c r="E401" s="92"/>
    </row>
    <row r="402" ht="12.75" customHeight="1">
      <c r="E402" s="92"/>
    </row>
    <row r="403" ht="12.75" customHeight="1">
      <c r="E403" s="92"/>
    </row>
    <row r="404" ht="12.75" customHeight="1">
      <c r="E404" s="92"/>
    </row>
    <row r="405" ht="12.75" customHeight="1">
      <c r="E405" s="92"/>
    </row>
    <row r="406" ht="12.75" customHeight="1">
      <c r="E406" s="92"/>
    </row>
    <row r="407" ht="12.75" customHeight="1">
      <c r="E407" s="92"/>
    </row>
    <row r="408" ht="12.75" customHeight="1">
      <c r="E408" s="92"/>
    </row>
    <row r="409" ht="12.75" customHeight="1">
      <c r="E409" s="92"/>
    </row>
    <row r="410" ht="12.75" customHeight="1">
      <c r="E410" s="92"/>
    </row>
    <row r="411" ht="12.75" customHeight="1">
      <c r="E411" s="92"/>
    </row>
    <row r="412" ht="12.75" customHeight="1">
      <c r="E412" s="92"/>
    </row>
    <row r="413" ht="12.75" customHeight="1">
      <c r="E413" s="92"/>
    </row>
    <row r="414" ht="12.75" customHeight="1">
      <c r="E414" s="92"/>
    </row>
    <row r="415" ht="12.75" customHeight="1">
      <c r="E415" s="92"/>
    </row>
    <row r="416" ht="12.75" customHeight="1">
      <c r="E416" s="92"/>
    </row>
    <row r="417" ht="12.75" customHeight="1">
      <c r="E417" s="92"/>
    </row>
    <row r="418" ht="12.75" customHeight="1">
      <c r="E418" s="92"/>
    </row>
    <row r="419" ht="12.75" customHeight="1">
      <c r="E419" s="92"/>
    </row>
    <row r="420" ht="12.75" customHeight="1">
      <c r="E420" s="92"/>
    </row>
    <row r="421" ht="12.75" customHeight="1">
      <c r="E421" s="92"/>
    </row>
    <row r="422" ht="12.75" customHeight="1">
      <c r="E422" s="92"/>
    </row>
    <row r="423" ht="12.75" customHeight="1">
      <c r="E423" s="92"/>
    </row>
    <row r="424" ht="12.75" customHeight="1">
      <c r="E424" s="92"/>
    </row>
    <row r="425" ht="12.75" customHeight="1">
      <c r="E425" s="92"/>
    </row>
    <row r="426" ht="12.75" customHeight="1">
      <c r="E426" s="92"/>
    </row>
    <row r="427" ht="12.75" customHeight="1">
      <c r="E427" s="92"/>
    </row>
    <row r="428" ht="12.75" customHeight="1">
      <c r="E428" s="92"/>
    </row>
    <row r="429" ht="12.75" customHeight="1">
      <c r="E429" s="92"/>
    </row>
    <row r="430" ht="12.75" customHeight="1">
      <c r="E430" s="92"/>
    </row>
    <row r="431" ht="12.75" customHeight="1">
      <c r="E431" s="92"/>
    </row>
    <row r="432" ht="12.75" customHeight="1">
      <c r="E432" s="92"/>
    </row>
    <row r="433" ht="12.75" customHeight="1">
      <c r="E433" s="92"/>
    </row>
    <row r="434" ht="12.75" customHeight="1">
      <c r="E434" s="92"/>
    </row>
    <row r="435" ht="12.75" customHeight="1">
      <c r="E435" s="92"/>
    </row>
    <row r="436" ht="12.75" customHeight="1">
      <c r="E436" s="92"/>
    </row>
    <row r="437" ht="12.75" customHeight="1">
      <c r="E437" s="92"/>
    </row>
    <row r="438" ht="12.75" customHeight="1">
      <c r="E438" s="92"/>
    </row>
    <row r="439" ht="12.75" customHeight="1">
      <c r="E439" s="92"/>
    </row>
    <row r="440" ht="12.75" customHeight="1">
      <c r="E440" s="92"/>
    </row>
    <row r="441" ht="12.75" customHeight="1">
      <c r="E441" s="92"/>
    </row>
    <row r="442" ht="12.75" customHeight="1">
      <c r="E442" s="92"/>
    </row>
    <row r="443" ht="12.75" customHeight="1">
      <c r="E443" s="92"/>
    </row>
    <row r="444" ht="12.75" customHeight="1">
      <c r="E444" s="92"/>
    </row>
    <row r="445" ht="12.75" customHeight="1">
      <c r="E445" s="92"/>
    </row>
    <row r="446" ht="12.75" customHeight="1">
      <c r="E446" s="92"/>
    </row>
    <row r="447" ht="12.75" customHeight="1">
      <c r="E447" s="92"/>
    </row>
    <row r="448" ht="12.75" customHeight="1">
      <c r="E448" s="92"/>
    </row>
    <row r="449" ht="12.75" customHeight="1">
      <c r="E449" s="92"/>
    </row>
    <row r="450" ht="12.75" customHeight="1">
      <c r="E450" s="92"/>
    </row>
    <row r="451" ht="12.75" customHeight="1">
      <c r="E451" s="92"/>
    </row>
    <row r="452" ht="12.75" customHeight="1">
      <c r="E452" s="92"/>
    </row>
    <row r="453" ht="12.75" customHeight="1">
      <c r="E453" s="92"/>
    </row>
    <row r="454" ht="12.75" customHeight="1">
      <c r="E454" s="92"/>
    </row>
    <row r="455" ht="12.75" customHeight="1">
      <c r="E455" s="92"/>
    </row>
    <row r="456" ht="12.75" customHeight="1">
      <c r="E456" s="92"/>
    </row>
    <row r="457" ht="12.75" customHeight="1">
      <c r="E457" s="92"/>
    </row>
    <row r="458" ht="12.75" customHeight="1">
      <c r="E458" s="92"/>
    </row>
    <row r="459" ht="12.75" customHeight="1">
      <c r="E459" s="92"/>
    </row>
    <row r="460" ht="12.75" customHeight="1">
      <c r="E460" s="92"/>
    </row>
    <row r="461" ht="12.75" customHeight="1">
      <c r="E461" s="92"/>
    </row>
    <row r="462" ht="12.75" customHeight="1">
      <c r="E462" s="92"/>
    </row>
    <row r="463" ht="12.75" customHeight="1">
      <c r="E463" s="92"/>
    </row>
    <row r="464" ht="12.75" customHeight="1">
      <c r="E464" s="92"/>
    </row>
    <row r="465" ht="12.75" customHeight="1">
      <c r="E465" s="92"/>
    </row>
    <row r="466" ht="12.75" customHeight="1">
      <c r="E466" s="92"/>
    </row>
    <row r="467" ht="12.75" customHeight="1">
      <c r="E467" s="92"/>
    </row>
    <row r="468" ht="12.75" customHeight="1">
      <c r="E468" s="92"/>
    </row>
    <row r="469" ht="12.75" customHeight="1">
      <c r="E469" s="92"/>
    </row>
    <row r="470" ht="12.75" customHeight="1">
      <c r="E470" s="92"/>
    </row>
    <row r="471" ht="12.75" customHeight="1">
      <c r="E471" s="92"/>
    </row>
    <row r="472" ht="12.75" customHeight="1">
      <c r="E472" s="92"/>
    </row>
    <row r="473" ht="12.75" customHeight="1">
      <c r="E473" s="92"/>
    </row>
    <row r="474" ht="12.75" customHeight="1">
      <c r="E474" s="92"/>
    </row>
    <row r="475" ht="12.75" customHeight="1">
      <c r="E475" s="92"/>
    </row>
    <row r="476" ht="12.75" customHeight="1">
      <c r="E476" s="92"/>
    </row>
    <row r="477" ht="12.75" customHeight="1">
      <c r="E477" s="92"/>
    </row>
    <row r="478" ht="12.75" customHeight="1">
      <c r="E478" s="92"/>
    </row>
    <row r="479" ht="12.75" customHeight="1">
      <c r="E479" s="92"/>
    </row>
    <row r="480" ht="12.75" customHeight="1">
      <c r="E480" s="92"/>
    </row>
    <row r="481" ht="12.75" customHeight="1">
      <c r="E481" s="92"/>
    </row>
    <row r="482" ht="12.75" customHeight="1">
      <c r="E482" s="92"/>
    </row>
    <row r="483" ht="12.75" customHeight="1">
      <c r="E483" s="92"/>
    </row>
    <row r="484" ht="12.75" customHeight="1">
      <c r="E484" s="92"/>
    </row>
    <row r="485" ht="12.75" customHeight="1">
      <c r="E485" s="92"/>
    </row>
    <row r="486" ht="12.75" customHeight="1">
      <c r="E486" s="92"/>
    </row>
    <row r="487" ht="12.75" customHeight="1">
      <c r="E487" s="92"/>
    </row>
    <row r="488" ht="12.75" customHeight="1">
      <c r="E488" s="92"/>
    </row>
    <row r="489" ht="12.75" customHeight="1">
      <c r="E489" s="92"/>
    </row>
    <row r="490" ht="12.75" customHeight="1">
      <c r="E490" s="92"/>
    </row>
    <row r="491" ht="12.75" customHeight="1">
      <c r="E491" s="92"/>
    </row>
    <row r="492" ht="12.75" customHeight="1">
      <c r="E492" s="92"/>
    </row>
    <row r="493" ht="12.75" customHeight="1">
      <c r="E493" s="92"/>
    </row>
    <row r="494" ht="12.75" customHeight="1">
      <c r="E494" s="92"/>
    </row>
    <row r="495" ht="12.75" customHeight="1">
      <c r="E495" s="92"/>
    </row>
    <row r="496" ht="12.75" customHeight="1">
      <c r="E496" s="92"/>
    </row>
    <row r="497" ht="12.75" customHeight="1">
      <c r="E497" s="92"/>
    </row>
    <row r="498" ht="12.75" customHeight="1">
      <c r="E498" s="92"/>
    </row>
    <row r="499" ht="12.75" customHeight="1">
      <c r="E499" s="92"/>
    </row>
    <row r="500" ht="12.75" customHeight="1">
      <c r="E500" s="92"/>
    </row>
  </sheetData>
  <mergeCells count="2">
    <mergeCell ref="B1:D1"/>
    <mergeCell ref="B2:D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:C25"/>
    </sheetView>
  </sheetViews>
  <sheetFormatPr defaultColWidth="9.00390625" defaultRowHeight="12.75" customHeight="1"/>
  <cols>
    <col min="1" max="1" width="5.75390625" style="68" customWidth="1"/>
    <col min="2" max="2" width="47.75390625" style="3" customWidth="1"/>
    <col min="3" max="3" width="17.00390625" style="118" customWidth="1"/>
    <col min="4" max="16384" width="9.125" style="92" customWidth="1"/>
  </cols>
  <sheetData>
    <row r="1" ht="12.75" customHeight="1">
      <c r="C1" s="147" t="s">
        <v>160</v>
      </c>
    </row>
    <row r="2" spans="1:3" ht="12.75" customHeight="1">
      <c r="A2" s="497" t="s">
        <v>364</v>
      </c>
      <c r="B2" s="497"/>
      <c r="C2" s="497"/>
    </row>
    <row r="4" spans="1:3" ht="12.75" customHeight="1">
      <c r="A4" s="483" t="s">
        <v>346</v>
      </c>
      <c r="B4" s="485" t="s">
        <v>378</v>
      </c>
      <c r="C4" s="271" t="s">
        <v>322</v>
      </c>
    </row>
    <row r="5" spans="1:3" ht="12.75" customHeight="1">
      <c r="A5" s="484"/>
      <c r="B5" s="485"/>
      <c r="C5" s="272">
        <f>C6</f>
        <v>2070205</v>
      </c>
    </row>
    <row r="6" spans="1:3" ht="12.75" customHeight="1">
      <c r="A6" s="212"/>
      <c r="B6" s="74" t="s">
        <v>110</v>
      </c>
      <c r="C6" s="192">
        <f>C7+C11</f>
        <v>2070205</v>
      </c>
    </row>
    <row r="7" spans="1:3" ht="12.75" customHeight="1">
      <c r="A7" s="103">
        <v>992</v>
      </c>
      <c r="B7" s="166" t="s">
        <v>111</v>
      </c>
      <c r="C7" s="193">
        <f>C8+C10+C9</f>
        <v>312500</v>
      </c>
    </row>
    <row r="8" spans="1:3" ht="12.75" customHeight="1">
      <c r="A8" s="103"/>
      <c r="B8" s="74" t="s">
        <v>115</v>
      </c>
      <c r="C8" s="190">
        <v>62500</v>
      </c>
    </row>
    <row r="9" spans="1:3" ht="12.75" customHeight="1">
      <c r="A9" s="103"/>
      <c r="B9" s="74" t="s">
        <v>115</v>
      </c>
      <c r="C9" s="190">
        <v>50000</v>
      </c>
    </row>
    <row r="10" spans="1:3" ht="12.75" customHeight="1">
      <c r="A10" s="103"/>
      <c r="B10" s="74" t="s">
        <v>116</v>
      </c>
      <c r="C10" s="190">
        <v>200000</v>
      </c>
    </row>
    <row r="11" spans="1:3" ht="12.75" customHeight="1">
      <c r="A11" s="103">
        <v>992</v>
      </c>
      <c r="B11" s="166" t="s">
        <v>112</v>
      </c>
      <c r="C11" s="193">
        <f>C12+C13+C15+C14</f>
        <v>1757705</v>
      </c>
    </row>
    <row r="12" spans="1:3" ht="12.75" customHeight="1">
      <c r="A12" s="103"/>
      <c r="B12" s="74" t="s">
        <v>273</v>
      </c>
      <c r="C12" s="190">
        <v>800000</v>
      </c>
    </row>
    <row r="13" spans="1:3" ht="12.75" customHeight="1">
      <c r="A13" s="77"/>
      <c r="B13" s="74" t="s">
        <v>114</v>
      </c>
      <c r="C13" s="190">
        <v>220000</v>
      </c>
    </row>
    <row r="14" spans="1:3" ht="12.75" customHeight="1">
      <c r="A14" s="77"/>
      <c r="B14" s="74" t="s">
        <v>348</v>
      </c>
      <c r="C14" s="190">
        <v>650000</v>
      </c>
    </row>
    <row r="15" spans="1:3" ht="12.75" customHeight="1">
      <c r="A15" s="82"/>
      <c r="B15" s="83" t="s">
        <v>347</v>
      </c>
      <c r="C15" s="194">
        <v>87705</v>
      </c>
    </row>
    <row r="16" ht="12.75" customHeight="1">
      <c r="C16" s="195"/>
    </row>
    <row r="17" spans="1:3" ht="12.75" customHeight="1">
      <c r="A17" s="485" t="s">
        <v>346</v>
      </c>
      <c r="B17" s="485" t="s">
        <v>379</v>
      </c>
      <c r="C17" s="271" t="s">
        <v>322</v>
      </c>
    </row>
    <row r="18" spans="1:3" ht="12.75" customHeight="1">
      <c r="A18" s="485"/>
      <c r="B18" s="485"/>
      <c r="C18" s="272">
        <f>C19</f>
        <v>3656759.8200000003</v>
      </c>
    </row>
    <row r="19" spans="1:3" ht="12.75" customHeight="1">
      <c r="A19" s="101"/>
      <c r="B19" s="117" t="s">
        <v>383</v>
      </c>
      <c r="C19" s="192">
        <f>C20+C24</f>
        <v>3656759.8200000003</v>
      </c>
    </row>
    <row r="20" spans="1:3" ht="12.75" customHeight="1">
      <c r="A20" s="32">
        <v>952</v>
      </c>
      <c r="B20" s="166" t="s">
        <v>111</v>
      </c>
      <c r="C20" s="196">
        <f>C21+C22+C23</f>
        <v>1259798.9000000001</v>
      </c>
    </row>
    <row r="21" spans="1:3" ht="12.75" customHeight="1">
      <c r="A21" s="32"/>
      <c r="B21" s="74" t="s">
        <v>274</v>
      </c>
      <c r="C21" s="190">
        <v>222212.3</v>
      </c>
    </row>
    <row r="22" spans="1:3" ht="12.75" customHeight="1">
      <c r="A22" s="32"/>
      <c r="B22" s="64" t="s">
        <v>349</v>
      </c>
      <c r="C22" s="190">
        <v>626932.8</v>
      </c>
    </row>
    <row r="23" spans="1:3" ht="12.75" customHeight="1">
      <c r="A23" s="32"/>
      <c r="B23" s="64" t="s">
        <v>350</v>
      </c>
      <c r="C23" s="190">
        <v>410653.8</v>
      </c>
    </row>
    <row r="24" spans="1:3" ht="12.75" customHeight="1">
      <c r="A24" s="32">
        <v>952</v>
      </c>
      <c r="B24" s="48" t="s">
        <v>113</v>
      </c>
      <c r="C24" s="193">
        <f>C25</f>
        <v>2396960.92</v>
      </c>
    </row>
    <row r="25" spans="1:3" ht="12.75" customHeight="1">
      <c r="A25" s="96"/>
      <c r="B25" s="60" t="s">
        <v>117</v>
      </c>
      <c r="C25" s="194">
        <f>C29</f>
        <v>2396960.92</v>
      </c>
    </row>
    <row r="27" ht="12.75" customHeight="1" hidden="1">
      <c r="C27" s="118">
        <f>Wydatki!C232-Przychody!C5</f>
        <v>-3656759.8200000003</v>
      </c>
    </row>
    <row r="28" ht="12.75" customHeight="1" hidden="1">
      <c r="C28" s="118">
        <f>C20</f>
        <v>1259798.9000000001</v>
      </c>
    </row>
    <row r="29" ht="12.75" customHeight="1" hidden="1">
      <c r="C29" s="118">
        <f>-C27-C28</f>
        <v>2396960.92</v>
      </c>
    </row>
  </sheetData>
  <mergeCells count="5">
    <mergeCell ref="A2:C2"/>
    <mergeCell ref="A4:A5"/>
    <mergeCell ref="B4:B5"/>
    <mergeCell ref="A17:A18"/>
    <mergeCell ref="B17:B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 topLeftCell="A1">
      <selection activeCell="C48" sqref="C48"/>
    </sheetView>
  </sheetViews>
  <sheetFormatPr defaultColWidth="9.00390625" defaultRowHeight="12.75" customHeight="1"/>
  <cols>
    <col min="1" max="1" width="4.625" style="262" customWidth="1"/>
    <col min="2" max="2" width="6.25390625" style="256" customWidth="1"/>
    <col min="3" max="3" width="53.00390625" style="106" customWidth="1"/>
    <col min="4" max="4" width="14.75390625" style="164" customWidth="1"/>
    <col min="5" max="5" width="9.125" style="66" customWidth="1"/>
    <col min="6" max="6" width="21.75390625" style="104" customWidth="1"/>
    <col min="7" max="16384" width="9.125" style="66" customWidth="1"/>
  </cols>
  <sheetData>
    <row r="1" ht="12.75" customHeight="1">
      <c r="D1" s="147" t="s">
        <v>161</v>
      </c>
    </row>
    <row r="2" ht="12.75" customHeight="1">
      <c r="D2" s="147"/>
    </row>
    <row r="3" spans="1:6" s="115" customFormat="1" ht="12.75" customHeight="1">
      <c r="A3" s="489" t="s">
        <v>365</v>
      </c>
      <c r="B3" s="489"/>
      <c r="C3" s="489"/>
      <c r="D3" s="489"/>
      <c r="F3" s="116"/>
    </row>
    <row r="4" spans="1:6" s="115" customFormat="1" ht="12.75" customHeight="1">
      <c r="A4" s="97"/>
      <c r="B4" s="97"/>
      <c r="C4" s="97"/>
      <c r="D4" s="97"/>
      <c r="F4" s="116"/>
    </row>
    <row r="5" spans="1:4" ht="12.75" customHeight="1">
      <c r="A5" s="492" t="s">
        <v>91</v>
      </c>
      <c r="B5" s="493"/>
      <c r="C5" s="493"/>
      <c r="D5" s="494"/>
    </row>
    <row r="6" spans="1:4" ht="12.75" customHeight="1">
      <c r="A6" s="273" t="s">
        <v>92</v>
      </c>
      <c r="B6" s="316" t="s">
        <v>93</v>
      </c>
      <c r="C6" s="319" t="s">
        <v>94</v>
      </c>
      <c r="D6" s="274" t="s">
        <v>322</v>
      </c>
    </row>
    <row r="7" spans="1:6" s="67" customFormat="1" ht="12.75" customHeight="1">
      <c r="A7" s="491">
        <v>750</v>
      </c>
      <c r="B7" s="257"/>
      <c r="C7" s="107" t="s">
        <v>7</v>
      </c>
      <c r="D7" s="178">
        <f>D8</f>
        <v>131073</v>
      </c>
      <c r="F7" s="105"/>
    </row>
    <row r="8" spans="1:4" ht="12.75" customHeight="1">
      <c r="A8" s="506"/>
      <c r="B8" s="197">
        <v>75011</v>
      </c>
      <c r="C8" s="108" t="s">
        <v>95</v>
      </c>
      <c r="D8" s="168">
        <f>D9</f>
        <v>131073</v>
      </c>
    </row>
    <row r="9" spans="1:4" ht="12.75" customHeight="1">
      <c r="A9" s="506"/>
      <c r="B9" s="197"/>
      <c r="C9" s="108" t="s">
        <v>74</v>
      </c>
      <c r="D9" s="168">
        <f>D10+D11</f>
        <v>131073</v>
      </c>
    </row>
    <row r="10" spans="1:4" ht="12.75" customHeight="1">
      <c r="A10" s="506"/>
      <c r="B10" s="197"/>
      <c r="C10" s="108" t="s">
        <v>75</v>
      </c>
      <c r="D10" s="168">
        <v>125000</v>
      </c>
    </row>
    <row r="11" spans="1:4" ht="12.75" customHeight="1">
      <c r="A11" s="506"/>
      <c r="B11" s="197"/>
      <c r="C11" s="108" t="s">
        <v>73</v>
      </c>
      <c r="D11" s="168">
        <v>6073</v>
      </c>
    </row>
    <row r="12" spans="1:4" ht="12.75" customHeight="1">
      <c r="A12" s="505">
        <v>751</v>
      </c>
      <c r="B12" s="258"/>
      <c r="C12" s="29" t="s">
        <v>271</v>
      </c>
      <c r="D12" s="182">
        <f>D13</f>
        <v>2866</v>
      </c>
    </row>
    <row r="13" spans="1:4" ht="12.75" customHeight="1">
      <c r="A13" s="506"/>
      <c r="B13" s="259">
        <v>75101</v>
      </c>
      <c r="C13" s="32" t="s">
        <v>271</v>
      </c>
      <c r="D13" s="183">
        <f>D14</f>
        <v>2866</v>
      </c>
    </row>
    <row r="14" spans="1:4" ht="12.75" customHeight="1">
      <c r="A14" s="506"/>
      <c r="B14" s="259"/>
      <c r="C14" s="32" t="s">
        <v>74</v>
      </c>
      <c r="D14" s="167">
        <f>D15</f>
        <v>2866</v>
      </c>
    </row>
    <row r="15" spans="1:6" ht="12.75" customHeight="1">
      <c r="A15" s="177"/>
      <c r="B15" s="259"/>
      <c r="C15" s="32" t="s">
        <v>75</v>
      </c>
      <c r="D15" s="165">
        <v>2866</v>
      </c>
      <c r="F15" s="6"/>
    </row>
    <row r="16" spans="1:6" ht="12.75" customHeight="1">
      <c r="A16" s="505">
        <v>852</v>
      </c>
      <c r="B16" s="257"/>
      <c r="C16" s="29" t="s">
        <v>106</v>
      </c>
      <c r="D16" s="178">
        <f>D17+D25+D27+D29+D21</f>
        <v>6474600</v>
      </c>
      <c r="F16" s="6"/>
    </row>
    <row r="17" spans="1:6" ht="12.75" customHeight="1">
      <c r="A17" s="506"/>
      <c r="B17" s="197">
        <v>85203</v>
      </c>
      <c r="C17" s="32" t="s">
        <v>48</v>
      </c>
      <c r="D17" s="168">
        <f>D18</f>
        <v>310700</v>
      </c>
      <c r="F17" s="6"/>
    </row>
    <row r="18" spans="1:6" ht="12.75" customHeight="1">
      <c r="A18" s="506"/>
      <c r="B18" s="197"/>
      <c r="C18" s="32" t="s">
        <v>24</v>
      </c>
      <c r="D18" s="168">
        <f>D19+D20</f>
        <v>310700</v>
      </c>
      <c r="F18" s="6"/>
    </row>
    <row r="19" spans="1:6" ht="12.75" customHeight="1">
      <c r="A19" s="506"/>
      <c r="B19" s="197"/>
      <c r="C19" s="32" t="s">
        <v>72</v>
      </c>
      <c r="D19" s="148">
        <f>188000</f>
        <v>188000</v>
      </c>
      <c r="F19" s="6"/>
    </row>
    <row r="20" spans="1:6" ht="12.75" customHeight="1">
      <c r="A20" s="506"/>
      <c r="B20" s="197"/>
      <c r="C20" s="32" t="s">
        <v>73</v>
      </c>
      <c r="D20" s="148">
        <v>122700</v>
      </c>
      <c r="F20" s="6"/>
    </row>
    <row r="21" spans="1:4" ht="12.75" customHeight="1">
      <c r="A21" s="506"/>
      <c r="B21" s="197">
        <v>85212</v>
      </c>
      <c r="C21" s="32" t="s">
        <v>237</v>
      </c>
      <c r="D21" s="168">
        <f>D22</f>
        <v>5881000</v>
      </c>
    </row>
    <row r="22" spans="1:4" ht="12.75" customHeight="1">
      <c r="A22" s="506"/>
      <c r="B22" s="197"/>
      <c r="C22" s="32" t="s">
        <v>24</v>
      </c>
      <c r="D22" s="168">
        <f>D23+D24</f>
        <v>5881000</v>
      </c>
    </row>
    <row r="23" spans="1:4" ht="12.75" customHeight="1">
      <c r="A23" s="506"/>
      <c r="B23" s="197"/>
      <c r="C23" s="32" t="s">
        <v>72</v>
      </c>
      <c r="D23" s="198">
        <v>180000</v>
      </c>
    </row>
    <row r="24" spans="1:4" ht="12.75" customHeight="1">
      <c r="A24" s="506"/>
      <c r="B24" s="197"/>
      <c r="C24" s="32" t="s">
        <v>73</v>
      </c>
      <c r="D24" s="198">
        <f>5881000-180000</f>
        <v>5701000</v>
      </c>
    </row>
    <row r="25" spans="1:4" ht="12.75" customHeight="1">
      <c r="A25" s="506"/>
      <c r="B25" s="197">
        <v>85213</v>
      </c>
      <c r="C25" s="32" t="s">
        <v>49</v>
      </c>
      <c r="D25" s="168">
        <f>D26</f>
        <v>27800</v>
      </c>
    </row>
    <row r="26" spans="1:4" ht="12.75" customHeight="1">
      <c r="A26" s="506"/>
      <c r="B26" s="197"/>
      <c r="C26" s="32" t="s">
        <v>24</v>
      </c>
      <c r="D26" s="199">
        <v>27800</v>
      </c>
    </row>
    <row r="27" spans="1:4" ht="12.75" customHeight="1">
      <c r="A27" s="506"/>
      <c r="B27" s="197">
        <v>85214</v>
      </c>
      <c r="C27" s="32" t="s">
        <v>96</v>
      </c>
      <c r="D27" s="168">
        <f>D28</f>
        <v>183400</v>
      </c>
    </row>
    <row r="28" spans="1:4" ht="12.75" customHeight="1">
      <c r="A28" s="506"/>
      <c r="B28" s="197"/>
      <c r="C28" s="32" t="s">
        <v>74</v>
      </c>
      <c r="D28" s="199">
        <v>183400</v>
      </c>
    </row>
    <row r="29" spans="1:4" ht="12.75" customHeight="1">
      <c r="A29" s="506"/>
      <c r="B29" s="197">
        <v>85228</v>
      </c>
      <c r="C29" s="32" t="s">
        <v>53</v>
      </c>
      <c r="D29" s="168">
        <f>D30</f>
        <v>71700</v>
      </c>
    </row>
    <row r="30" spans="1:6" s="67" customFormat="1" ht="12.75" customHeight="1">
      <c r="A30" s="506"/>
      <c r="B30" s="197"/>
      <c r="C30" s="32" t="s">
        <v>74</v>
      </c>
      <c r="D30" s="200">
        <v>71700</v>
      </c>
      <c r="F30" s="105"/>
    </row>
    <row r="31" spans="1:4" ht="12.75" customHeight="1">
      <c r="A31" s="278" t="s">
        <v>98</v>
      </c>
      <c r="B31" s="279"/>
      <c r="C31" s="280" t="s">
        <v>99</v>
      </c>
      <c r="D31" s="281">
        <f>D16+D12+D7</f>
        <v>6608539</v>
      </c>
    </row>
    <row r="32" spans="1:3" ht="12.75" customHeight="1">
      <c r="A32" s="95"/>
      <c r="B32" s="140"/>
      <c r="C32" s="68"/>
    </row>
    <row r="33" spans="1:6" s="67" customFormat="1" ht="12.75" customHeight="1">
      <c r="A33" s="486" t="s">
        <v>100</v>
      </c>
      <c r="B33" s="487"/>
      <c r="C33" s="487"/>
      <c r="D33" s="488"/>
      <c r="F33" s="105"/>
    </row>
    <row r="34" spans="1:4" ht="12.75" customHeight="1">
      <c r="A34" s="276" t="s">
        <v>92</v>
      </c>
      <c r="B34" s="317" t="s">
        <v>162</v>
      </c>
      <c r="C34" s="317" t="s">
        <v>94</v>
      </c>
      <c r="D34" s="277" t="s">
        <v>322</v>
      </c>
    </row>
    <row r="35" spans="1:4" ht="12.75" customHeight="1">
      <c r="A35" s="490">
        <v>750</v>
      </c>
      <c r="B35" s="260"/>
      <c r="C35" s="111" t="s">
        <v>7</v>
      </c>
      <c r="D35" s="275">
        <f>D36</f>
        <v>131073</v>
      </c>
    </row>
    <row r="36" spans="1:4" ht="12.75" customHeight="1">
      <c r="A36" s="490"/>
      <c r="B36" s="261">
        <v>75011</v>
      </c>
      <c r="C36" s="112" t="s">
        <v>95</v>
      </c>
      <c r="D36" s="168">
        <f>D37</f>
        <v>131073</v>
      </c>
    </row>
    <row r="37" spans="1:6" s="67" customFormat="1" ht="12.75" customHeight="1">
      <c r="A37" s="490"/>
      <c r="B37" s="261">
        <v>2010</v>
      </c>
      <c r="C37" s="112" t="s">
        <v>101</v>
      </c>
      <c r="D37" s="168">
        <v>131073</v>
      </c>
      <c r="F37" s="105"/>
    </row>
    <row r="38" spans="1:4" ht="12.75" customHeight="1">
      <c r="A38" s="505">
        <v>751</v>
      </c>
      <c r="B38" s="257"/>
      <c r="C38" s="29" t="s">
        <v>271</v>
      </c>
      <c r="D38" s="178">
        <f>D39</f>
        <v>2866</v>
      </c>
    </row>
    <row r="39" spans="1:4" ht="12.75" customHeight="1">
      <c r="A39" s="506"/>
      <c r="B39" s="197">
        <v>75101</v>
      </c>
      <c r="C39" s="32" t="s">
        <v>271</v>
      </c>
      <c r="D39" s="168">
        <f>D40</f>
        <v>2866</v>
      </c>
    </row>
    <row r="40" spans="1:4" ht="12.75" customHeight="1">
      <c r="A40" s="506"/>
      <c r="B40" s="197">
        <v>2010</v>
      </c>
      <c r="C40" s="108" t="s">
        <v>101</v>
      </c>
      <c r="D40" s="168">
        <v>2866</v>
      </c>
    </row>
    <row r="41" spans="1:4" ht="12.75" customHeight="1">
      <c r="A41" s="505">
        <v>852</v>
      </c>
      <c r="B41" s="257"/>
      <c r="C41" s="113" t="s">
        <v>106</v>
      </c>
      <c r="D41" s="178">
        <f>D42+D46+D48+D50+D44</f>
        <v>6474600</v>
      </c>
    </row>
    <row r="42" spans="1:4" ht="12.75" customHeight="1">
      <c r="A42" s="506"/>
      <c r="B42" s="197">
        <v>85203</v>
      </c>
      <c r="C42" s="114" t="s">
        <v>48</v>
      </c>
      <c r="D42" s="168">
        <f>D43</f>
        <v>310700</v>
      </c>
    </row>
    <row r="43" spans="1:4" ht="12.75" customHeight="1">
      <c r="A43" s="506"/>
      <c r="B43" s="197">
        <v>2010</v>
      </c>
      <c r="C43" s="114" t="s">
        <v>101</v>
      </c>
      <c r="D43" s="168">
        <v>310700</v>
      </c>
    </row>
    <row r="44" spans="1:4" ht="12.75" customHeight="1">
      <c r="A44" s="506"/>
      <c r="B44" s="197">
        <v>85212</v>
      </c>
      <c r="C44" s="114" t="s">
        <v>237</v>
      </c>
      <c r="D44" s="168">
        <f>D45</f>
        <v>5881000</v>
      </c>
    </row>
    <row r="45" spans="1:4" ht="12.75" customHeight="1">
      <c r="A45" s="506"/>
      <c r="B45" s="197">
        <v>2010</v>
      </c>
      <c r="C45" s="114" t="s">
        <v>101</v>
      </c>
      <c r="D45" s="168">
        <v>5881000</v>
      </c>
    </row>
    <row r="46" spans="1:4" ht="12.75" customHeight="1">
      <c r="A46" s="506"/>
      <c r="B46" s="197">
        <v>85213</v>
      </c>
      <c r="C46" s="114" t="s">
        <v>49</v>
      </c>
      <c r="D46" s="168">
        <f>D47</f>
        <v>27800</v>
      </c>
    </row>
    <row r="47" spans="1:4" ht="12.75" customHeight="1">
      <c r="A47" s="506"/>
      <c r="B47" s="197">
        <v>2010</v>
      </c>
      <c r="C47" s="114" t="s">
        <v>101</v>
      </c>
      <c r="D47" s="168">
        <v>27800</v>
      </c>
    </row>
    <row r="48" spans="1:4" ht="12.75" customHeight="1">
      <c r="A48" s="506"/>
      <c r="B48" s="197">
        <v>85214</v>
      </c>
      <c r="C48" s="114" t="s">
        <v>102</v>
      </c>
      <c r="D48" s="168">
        <f>D49</f>
        <v>183400</v>
      </c>
    </row>
    <row r="49" spans="1:4" ht="12.75" customHeight="1">
      <c r="A49" s="506"/>
      <c r="B49" s="197">
        <v>2010</v>
      </c>
      <c r="C49" s="114" t="s">
        <v>101</v>
      </c>
      <c r="D49" s="168">
        <v>183400</v>
      </c>
    </row>
    <row r="50" spans="1:4" ht="12.75" customHeight="1">
      <c r="A50" s="506"/>
      <c r="B50" s="197">
        <v>85228</v>
      </c>
      <c r="C50" s="114" t="s">
        <v>53</v>
      </c>
      <c r="D50" s="168">
        <f>D51</f>
        <v>71700</v>
      </c>
    </row>
    <row r="51" spans="1:6" s="67" customFormat="1" ht="12.75" customHeight="1">
      <c r="A51" s="506"/>
      <c r="B51" s="197">
        <v>2010</v>
      </c>
      <c r="C51" s="114" t="s">
        <v>101</v>
      </c>
      <c r="D51" s="168">
        <v>71700</v>
      </c>
      <c r="F51" s="105"/>
    </row>
    <row r="52" spans="1:4" ht="12.75" customHeight="1">
      <c r="A52" s="278" t="s">
        <v>98</v>
      </c>
      <c r="B52" s="279"/>
      <c r="C52" s="280" t="s">
        <v>103</v>
      </c>
      <c r="D52" s="281">
        <f>D41+D38+D35</f>
        <v>6608539</v>
      </c>
    </row>
  </sheetData>
  <mergeCells count="9">
    <mergeCell ref="A33:D33"/>
    <mergeCell ref="A3:D3"/>
    <mergeCell ref="A38:A40"/>
    <mergeCell ref="A41:A51"/>
    <mergeCell ref="A35:A37"/>
    <mergeCell ref="A12:A14"/>
    <mergeCell ref="A16:A30"/>
    <mergeCell ref="A7:A11"/>
    <mergeCell ref="A5:D5"/>
  </mergeCells>
  <printOptions/>
  <pageMargins left="0.72" right="0.22" top="0.31" bottom="0.66" header="0.27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UM Ustrzyki Dolne</cp:lastModifiedBy>
  <cp:lastPrinted>2007-02-01T09:48:30Z</cp:lastPrinted>
  <dcterms:created xsi:type="dcterms:W3CDTF">2002-11-03T06:23:27Z</dcterms:created>
  <dcterms:modified xsi:type="dcterms:W3CDTF">2007-02-01T09:48:33Z</dcterms:modified>
  <cp:category/>
  <cp:version/>
  <cp:contentType/>
  <cp:contentStatus/>
</cp:coreProperties>
</file>